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uct Manuals &amp; Brochures\Shaft Motor\Sizing\"/>
    </mc:Choice>
  </mc:AlternateContent>
  <bookViews>
    <workbookView xWindow="120" yWindow="210" windowWidth="20730" windowHeight="11700"/>
  </bookViews>
  <sheets>
    <sheet name="Sizing" sheetId="2" r:id="rId1"/>
    <sheet name="Spec Sheet" sheetId="5" r:id="rId2"/>
  </sheets>
  <externalReferences>
    <externalReference r:id="rId3"/>
    <externalReference r:id="rId4"/>
    <externalReference r:id="rId5"/>
  </externalReferences>
  <definedNames>
    <definedName name="Acc_list" hidden="1">OFFSET([1]Convert!$L$4,0,0,[2]!COUNTCONTIGROWS([1]Convert!$L$4),1)</definedName>
    <definedName name="Distance_list" hidden="1">OFFSET([1]Convert!$H$4,0,0,[3]!COUNTCONTIGROWS([1]Convert!$H$4),1)</definedName>
    <definedName name="S1P" hidden="1">IF(Segment1,'[1]Step 2 Define Moves'!$AJ$26:$AJ$51,0)</definedName>
  </definedNames>
  <calcPr calcId="152511"/>
</workbook>
</file>

<file path=xl/calcChain.xml><?xml version="1.0" encoding="utf-8"?>
<calcChain xmlns="http://schemas.openxmlformats.org/spreadsheetml/2006/main">
  <c r="D31" i="5" l="1"/>
  <c r="P65" i="5" s="1"/>
  <c r="D30" i="5"/>
  <c r="E65" i="5" s="1"/>
  <c r="BE20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BP7" i="2"/>
  <c r="BQ7" i="2"/>
  <c r="AY65" i="5" l="1"/>
  <c r="AJ65" i="5"/>
  <c r="W65" i="5"/>
  <c r="AH65" i="5"/>
  <c r="AT65" i="5"/>
  <c r="AC65" i="5"/>
  <c r="L65" i="5"/>
  <c r="AU65" i="5"/>
  <c r="Q65" i="5"/>
  <c r="C65" i="5"/>
  <c r="BE65" i="5"/>
  <c r="AN65" i="5"/>
  <c r="X65" i="5"/>
  <c r="K65" i="5"/>
  <c r="AO65" i="5"/>
  <c r="Z65" i="5"/>
  <c r="BA65" i="5"/>
  <c r="AP65" i="5"/>
  <c r="AD65" i="5"/>
  <c r="S65" i="5"/>
  <c r="G65" i="5"/>
  <c r="BC65" i="5"/>
  <c r="AX65" i="5"/>
  <c r="AS65" i="5"/>
  <c r="AL65" i="5"/>
  <c r="AG65" i="5"/>
  <c r="AB65" i="5"/>
  <c r="U65" i="5"/>
  <c r="O65" i="5"/>
  <c r="J65" i="5"/>
  <c r="D65" i="5"/>
  <c r="BB65" i="5"/>
  <c r="AW65" i="5"/>
  <c r="AQ65" i="5"/>
  <c r="AK65" i="5"/>
  <c r="AF65" i="5"/>
  <c r="Y65" i="5"/>
  <c r="T65" i="5"/>
  <c r="N65" i="5"/>
  <c r="H65" i="5"/>
  <c r="F65" i="5"/>
  <c r="BD65" i="5"/>
  <c r="AZ65" i="5"/>
  <c r="AV65" i="5"/>
  <c r="AR65" i="5"/>
  <c r="AM65" i="5"/>
  <c r="AI65" i="5"/>
  <c r="AE65" i="5"/>
  <c r="AA65" i="5"/>
  <c r="V65" i="5"/>
  <c r="R65" i="5"/>
  <c r="M65" i="5"/>
  <c r="I65" i="5"/>
  <c r="C51" i="5"/>
  <c r="D26" i="5" l="1"/>
  <c r="U12" i="2"/>
  <c r="U10" i="2"/>
  <c r="U8" i="2"/>
  <c r="J27" i="5"/>
  <c r="J28" i="5" s="1"/>
  <c r="J26" i="5"/>
  <c r="G26" i="5"/>
  <c r="G30" i="5" s="1"/>
  <c r="G27" i="5"/>
  <c r="U14" i="2" s="1"/>
  <c r="D27" i="5"/>
  <c r="U4" i="2"/>
  <c r="E38" i="5" l="1"/>
  <c r="E40" i="5" s="1"/>
  <c r="V38" i="5"/>
  <c r="Z38" i="5"/>
  <c r="AD38" i="5"/>
  <c r="AH38" i="5"/>
  <c r="AL38" i="5"/>
  <c r="AP38" i="5"/>
  <c r="AT38" i="5"/>
  <c r="AX38" i="5"/>
  <c r="BB38" i="5"/>
  <c r="O38" i="5"/>
  <c r="S38" i="5"/>
  <c r="T38" i="5"/>
  <c r="X38" i="5"/>
  <c r="AB38" i="5"/>
  <c r="AF38" i="5"/>
  <c r="AJ38" i="5"/>
  <c r="AN38" i="5"/>
  <c r="AR38" i="5"/>
  <c r="AV38" i="5"/>
  <c r="AZ38" i="5"/>
  <c r="BD38" i="5"/>
  <c r="W38" i="5"/>
  <c r="AA38" i="5"/>
  <c r="AE38" i="5"/>
  <c r="AI38" i="5"/>
  <c r="AM38" i="5"/>
  <c r="AQ38" i="5"/>
  <c r="AU38" i="5"/>
  <c r="AY38" i="5"/>
  <c r="BC38" i="5"/>
  <c r="P38" i="5"/>
  <c r="U38" i="5"/>
  <c r="AK38" i="5"/>
  <c r="BA38" i="5"/>
  <c r="Q38" i="5"/>
  <c r="AS38" i="5"/>
  <c r="AG38" i="5"/>
  <c r="Y38" i="5"/>
  <c r="AO38" i="5"/>
  <c r="BE38" i="5"/>
  <c r="R38" i="5"/>
  <c r="AC38" i="5"/>
  <c r="AW38" i="5"/>
  <c r="K38" i="5"/>
  <c r="K40" i="5" s="1"/>
  <c r="G38" i="5"/>
  <c r="G40" i="5" s="1"/>
  <c r="D38" i="5"/>
  <c r="D40" i="5" s="1"/>
  <c r="L38" i="5"/>
  <c r="L40" i="5" s="1"/>
  <c r="K39" i="5"/>
  <c r="H38" i="5"/>
  <c r="H39" i="5" s="1"/>
  <c r="N38" i="5"/>
  <c r="J38" i="5"/>
  <c r="F38" i="5"/>
  <c r="M38" i="5"/>
  <c r="I38" i="5"/>
  <c r="G28" i="5"/>
  <c r="C38" i="5"/>
  <c r="G29" i="5"/>
  <c r="BL41" i="2"/>
  <c r="BM41" i="2"/>
  <c r="BN41" i="2"/>
  <c r="BO41" i="2"/>
  <c r="BP41" i="2"/>
  <c r="BQ41" i="2"/>
  <c r="BR41" i="2"/>
  <c r="CB31" i="2"/>
  <c r="CB41" i="2"/>
  <c r="BK4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G41" i="2"/>
  <c r="BH41" i="2"/>
  <c r="BG42" i="2" s="1"/>
  <c r="BI41" i="2"/>
  <c r="BJ41" i="2"/>
  <c r="BQ21" i="2"/>
  <c r="BP21" i="2"/>
  <c r="BO21" i="2"/>
  <c r="BN21" i="2"/>
  <c r="BM21" i="2"/>
  <c r="BL21" i="2"/>
  <c r="BK21" i="2"/>
  <c r="BJ21" i="2"/>
  <c r="BI21" i="2"/>
  <c r="BH21" i="2"/>
  <c r="BG21" i="2"/>
  <c r="BR21" i="2"/>
  <c r="BE40" i="5" l="1"/>
  <c r="BE39" i="5"/>
  <c r="BG32" i="2"/>
  <c r="BG22" i="2"/>
  <c r="E39" i="5"/>
  <c r="AO39" i="5"/>
  <c r="AO40" i="5"/>
  <c r="Q40" i="5"/>
  <c r="Q39" i="5"/>
  <c r="AQ39" i="5"/>
  <c r="AQ40" i="5"/>
  <c r="AV39" i="5"/>
  <c r="AV40" i="5"/>
  <c r="S39" i="5"/>
  <c r="S40" i="5"/>
  <c r="AC40" i="5"/>
  <c r="AC39" i="5"/>
  <c r="BA40" i="5"/>
  <c r="BA39" i="5"/>
  <c r="AM39" i="5"/>
  <c r="AM40" i="5"/>
  <c r="W39" i="5"/>
  <c r="W40" i="5"/>
  <c r="AB39" i="5"/>
  <c r="AB40" i="5"/>
  <c r="AP39" i="5"/>
  <c r="AP40" i="5"/>
  <c r="R40" i="5"/>
  <c r="R39" i="5"/>
  <c r="AG40" i="5"/>
  <c r="AG39" i="5"/>
  <c r="AK40" i="5"/>
  <c r="AK39" i="5"/>
  <c r="AY40" i="5"/>
  <c r="AY39" i="5"/>
  <c r="AI39" i="5"/>
  <c r="AI40" i="5"/>
  <c r="BD40" i="5"/>
  <c r="BD39" i="5"/>
  <c r="AN39" i="5"/>
  <c r="AN40" i="5"/>
  <c r="X40" i="5"/>
  <c r="X39" i="5"/>
  <c r="BB40" i="5"/>
  <c r="BB39" i="5"/>
  <c r="AL39" i="5"/>
  <c r="AL40" i="5"/>
  <c r="V40" i="5"/>
  <c r="V39" i="5"/>
  <c r="AW40" i="5"/>
  <c r="AW39" i="5"/>
  <c r="P39" i="5"/>
  <c r="P40" i="5"/>
  <c r="AA39" i="5"/>
  <c r="AA40" i="5"/>
  <c r="AF39" i="5"/>
  <c r="AF40" i="5"/>
  <c r="AT39" i="5"/>
  <c r="AT40" i="5"/>
  <c r="AD40" i="5"/>
  <c r="AD39" i="5"/>
  <c r="Y39" i="5"/>
  <c r="Y40" i="5"/>
  <c r="BC39" i="5"/>
  <c r="BC40" i="5"/>
  <c r="AR40" i="5"/>
  <c r="AR39" i="5"/>
  <c r="O39" i="5"/>
  <c r="O40" i="5"/>
  <c r="Z39" i="5"/>
  <c r="Z40" i="5"/>
  <c r="AS40" i="5"/>
  <c r="AS39" i="5"/>
  <c r="U39" i="5"/>
  <c r="U40" i="5"/>
  <c r="AU39" i="5"/>
  <c r="AU40" i="5"/>
  <c r="AE40" i="5"/>
  <c r="AE39" i="5"/>
  <c r="AZ40" i="5"/>
  <c r="AZ39" i="5"/>
  <c r="AJ39" i="5"/>
  <c r="AJ40" i="5"/>
  <c r="T39" i="5"/>
  <c r="T40" i="5"/>
  <c r="AX39" i="5"/>
  <c r="AX40" i="5"/>
  <c r="AH39" i="5"/>
  <c r="AH40" i="5"/>
  <c r="H40" i="5"/>
  <c r="L39" i="5"/>
  <c r="D39" i="5"/>
  <c r="G39" i="5"/>
  <c r="M39" i="5"/>
  <c r="M40" i="5"/>
  <c r="F40" i="5"/>
  <c r="F39" i="5"/>
  <c r="J40" i="5"/>
  <c r="J39" i="5"/>
  <c r="I39" i="5"/>
  <c r="I40" i="5"/>
  <c r="N39" i="5"/>
  <c r="N40" i="5"/>
  <c r="C39" i="5"/>
  <c r="C40" i="5"/>
  <c r="CB21" i="2"/>
  <c r="BH42" i="2" l="1"/>
  <c r="BH32" i="2"/>
  <c r="E42" i="2" s="1"/>
  <c r="BI42" i="2" l="1"/>
  <c r="AB44" i="2" s="1"/>
  <c r="E44" i="2"/>
  <c r="BS31" i="2"/>
  <c r="BS41" i="2"/>
  <c r="BI32" i="2"/>
  <c r="AB42" i="2" s="1"/>
  <c r="BJ42" i="2" l="1"/>
  <c r="AM44" i="2" s="1"/>
  <c r="BI10" i="2"/>
  <c r="BI8" i="2"/>
  <c r="BQ42" i="2"/>
  <c r="CA41" i="2"/>
  <c r="BJ32" i="2"/>
  <c r="BH22" i="2"/>
  <c r="E40" i="2" s="1"/>
  <c r="BO42" i="2" l="1"/>
  <c r="BT41" i="2" s="1"/>
  <c r="BO32" i="2"/>
  <c r="AM42" i="2"/>
  <c r="CA31" i="2"/>
  <c r="BQ32" i="2"/>
  <c r="BI22" i="2"/>
  <c r="AB40" i="2" s="1"/>
  <c r="BT31" i="2" l="1"/>
  <c r="BU31" i="2" s="1"/>
  <c r="BX31" i="2" s="1"/>
  <c r="BI6" i="2"/>
  <c r="BU41" i="2"/>
  <c r="P44" i="2" s="1"/>
  <c r="BJ22" i="2"/>
  <c r="AM40" i="2" s="1"/>
  <c r="BV31" i="2" l="1"/>
  <c r="BK32" i="2" s="1"/>
  <c r="P42" i="2"/>
  <c r="BV41" i="2"/>
  <c r="BK42" i="2" s="1"/>
  <c r="BX41" i="2"/>
  <c r="BL42" i="2"/>
  <c r="BL32" i="2"/>
  <c r="CA21" i="2"/>
  <c r="BS21" i="2" s="1"/>
  <c r="BO22" i="2" s="1"/>
  <c r="BM32" i="2"/>
  <c r="BJ7" i="2" l="1"/>
  <c r="BJ8" i="2"/>
  <c r="J44" i="2"/>
  <c r="BQ22" i="2"/>
  <c r="BT21" i="2" s="1"/>
  <c r="BU21" i="2" s="1"/>
  <c r="BW31" i="2"/>
  <c r="BP42" i="2"/>
  <c r="V44" i="2"/>
  <c r="BM42" i="2"/>
  <c r="BW41" i="2"/>
  <c r="V42" i="2"/>
  <c r="BP32" i="2"/>
  <c r="BN32" i="2"/>
  <c r="AG42" i="2"/>
  <c r="J42" i="2"/>
  <c r="BJ10" i="2" l="1"/>
  <c r="BJ9" i="2"/>
  <c r="BN42" i="2"/>
  <c r="BG9" i="2" s="1"/>
  <c r="BG7" i="2"/>
  <c r="BZ31" i="2"/>
  <c r="BY31" i="2" s="1"/>
  <c r="BI24" i="2"/>
  <c r="BI25" i="2" s="1"/>
  <c r="AG44" i="2"/>
  <c r="CC31" i="2"/>
  <c r="P40" i="2"/>
  <c r="BV21" i="2"/>
  <c r="BK22" i="2" s="1"/>
  <c r="J40" i="2" s="1"/>
  <c r="BX21" i="2"/>
  <c r="BM22" i="2" s="1"/>
  <c r="AG40" i="2" s="1"/>
  <c r="BL22" i="2"/>
  <c r="V40" i="2" s="1"/>
  <c r="BH26" i="2" l="1"/>
  <c r="BJ5" i="2"/>
  <c r="BJ6" i="2"/>
  <c r="BS7" i="2"/>
  <c r="BI34" i="2"/>
  <c r="BJ34" i="2" s="1"/>
  <c r="BK34" i="2" s="1"/>
  <c r="BK35" i="2" s="1"/>
  <c r="CC41" i="2"/>
  <c r="BZ41" i="2"/>
  <c r="BY41" i="2" s="1"/>
  <c r="BJ24" i="2"/>
  <c r="BW21" i="2"/>
  <c r="BP22" i="2"/>
  <c r="BN22" i="2"/>
  <c r="BG11" i="2" s="1"/>
  <c r="BJ35" i="2" l="1"/>
  <c r="BJ36" i="2" s="1"/>
  <c r="BI35" i="2"/>
  <c r="BH36" i="2" s="1"/>
  <c r="BL34" i="2"/>
  <c r="BL35" i="2" s="1"/>
  <c r="BG12" i="2"/>
  <c r="BH27" i="2"/>
  <c r="BI14" i="2"/>
  <c r="BJ14" i="2" s="1"/>
  <c r="BK14" i="2" s="1"/>
  <c r="BL14" i="2" s="1"/>
  <c r="BM14" i="2" s="1"/>
  <c r="BN14" i="2" s="1"/>
  <c r="BO14" i="2" s="1"/>
  <c r="BP14" i="2" s="1"/>
  <c r="BQ14" i="2" s="1"/>
  <c r="BR14" i="2" s="1"/>
  <c r="BS14" i="2" s="1"/>
  <c r="BT14" i="2" s="1"/>
  <c r="BU14" i="2" s="1"/>
  <c r="BV14" i="2" s="1"/>
  <c r="BW14" i="2" s="1"/>
  <c r="BX14" i="2" s="1"/>
  <c r="BY14" i="2" s="1"/>
  <c r="BZ14" i="2" s="1"/>
  <c r="CA14" i="2" s="1"/>
  <c r="CB14" i="2" s="1"/>
  <c r="CC14" i="2" s="1"/>
  <c r="CD14" i="2" s="1"/>
  <c r="CE14" i="2" s="1"/>
  <c r="CF14" i="2" s="1"/>
  <c r="CG14" i="2" s="1"/>
  <c r="BG5" i="2"/>
  <c r="BK24" i="2"/>
  <c r="BJ25" i="2"/>
  <c r="BI26" i="2" s="1"/>
  <c r="BZ21" i="2"/>
  <c r="BY21" i="2" s="1"/>
  <c r="CC21" i="2"/>
  <c r="BI15" i="2" l="1"/>
  <c r="BH16" i="2" s="1"/>
  <c r="BK36" i="2"/>
  <c r="BK37" i="2" s="1"/>
  <c r="BJ37" i="2"/>
  <c r="BI36" i="2"/>
  <c r="BI37" i="2" s="1"/>
  <c r="BH37" i="2"/>
  <c r="BM34" i="2"/>
  <c r="BN34" i="2" s="1"/>
  <c r="U16" i="2"/>
  <c r="S28" i="5"/>
  <c r="CG15" i="2"/>
  <c r="BL15" i="2"/>
  <c r="BZ15" i="2"/>
  <c r="BS15" i="2"/>
  <c r="BP15" i="2"/>
  <c r="BM15" i="2"/>
  <c r="BL16" i="2" s="1"/>
  <c r="BJ15" i="2"/>
  <c r="BV15" i="2"/>
  <c r="BX15" i="2"/>
  <c r="BT15" i="2"/>
  <c r="CC15" i="2"/>
  <c r="BL24" i="2"/>
  <c r="BK25" i="2"/>
  <c r="BJ26" i="2" s="1"/>
  <c r="BK15" i="2"/>
  <c r="BR15" i="2"/>
  <c r="BY15" i="2"/>
  <c r="CF15" i="2"/>
  <c r="BU15" i="2"/>
  <c r="BT16" i="2" s="1"/>
  <c r="CA15" i="2"/>
  <c r="BZ16" i="2" s="1"/>
  <c r="CE15" i="2"/>
  <c r="BN15" i="2"/>
  <c r="BO15" i="2"/>
  <c r="CB15" i="2"/>
  <c r="BW15" i="2"/>
  <c r="CD15" i="2"/>
  <c r="BQ15" i="2"/>
  <c r="BM16" i="2" l="1"/>
  <c r="BS16" i="2"/>
  <c r="BS17" i="2" s="1"/>
  <c r="BV16" i="2"/>
  <c r="BV17" i="2" s="1"/>
  <c r="CE16" i="2"/>
  <c r="CE17" i="2" s="1"/>
  <c r="CC16" i="2"/>
  <c r="CC17" i="2" s="1"/>
  <c r="BJ16" i="2"/>
  <c r="BJ17" i="2" s="1"/>
  <c r="BO16" i="2"/>
  <c r="BO17" i="2" s="1"/>
  <c r="CA16" i="2"/>
  <c r="CA17" i="2" s="1"/>
  <c r="BR16" i="2"/>
  <c r="BR17" i="2" s="1"/>
  <c r="BK16" i="2"/>
  <c r="BK17" i="2" s="1"/>
  <c r="BP16" i="2"/>
  <c r="BP17" i="2" s="1"/>
  <c r="BN16" i="2"/>
  <c r="BN17" i="2" s="1"/>
  <c r="BQ16" i="2"/>
  <c r="BQ17" i="2" s="1"/>
  <c r="CB16" i="2"/>
  <c r="CB17" i="2" s="1"/>
  <c r="BI16" i="2"/>
  <c r="BI17" i="2" s="1"/>
  <c r="BY16" i="2"/>
  <c r="BY17" i="2" s="1"/>
  <c r="BW16" i="2"/>
  <c r="BW17" i="2" s="1"/>
  <c r="CF16" i="2"/>
  <c r="CF17" i="2" s="1"/>
  <c r="CD16" i="2"/>
  <c r="CD17" i="2" s="1"/>
  <c r="BX16" i="2"/>
  <c r="BX17" i="2" s="1"/>
  <c r="BU16" i="2"/>
  <c r="BU17" i="2" s="1"/>
  <c r="BL17" i="2"/>
  <c r="BM35" i="2"/>
  <c r="S27" i="5"/>
  <c r="S26" i="5" s="1"/>
  <c r="BM5" i="2"/>
  <c r="BH17" i="2"/>
  <c r="BI18" i="2"/>
  <c r="BI27" i="2"/>
  <c r="BM17" i="2"/>
  <c r="BT17" i="2"/>
  <c r="BZ17" i="2"/>
  <c r="BN35" i="2"/>
  <c r="BO34" i="2"/>
  <c r="BM24" i="2"/>
  <c r="BL25" i="2"/>
  <c r="BK26" i="2" s="1"/>
  <c r="BM36" i="2" l="1"/>
  <c r="BM37" i="2" s="1"/>
  <c r="BL36" i="2"/>
  <c r="BL37" i="2" s="1"/>
  <c r="BJ18" i="2"/>
  <c r="BK18" i="2" s="1"/>
  <c r="BL18" i="2" s="1"/>
  <c r="BM18" i="2" s="1"/>
  <c r="BN18" i="2" s="1"/>
  <c r="BO18" i="2" s="1"/>
  <c r="BP18" i="2" s="1"/>
  <c r="BQ18" i="2" s="1"/>
  <c r="BR18" i="2" s="1"/>
  <c r="BS18" i="2" s="1"/>
  <c r="BT18" i="2" s="1"/>
  <c r="BU18" i="2" s="1"/>
  <c r="BV18" i="2" s="1"/>
  <c r="BW18" i="2" s="1"/>
  <c r="BX18" i="2" s="1"/>
  <c r="BY18" i="2" s="1"/>
  <c r="BZ18" i="2" s="1"/>
  <c r="CA18" i="2" s="1"/>
  <c r="CB18" i="2" s="1"/>
  <c r="CC18" i="2" s="1"/>
  <c r="CD18" i="2" s="1"/>
  <c r="CE18" i="2" s="1"/>
  <c r="CF18" i="2" s="1"/>
  <c r="BH28" i="2" s="1"/>
  <c r="BJ27" i="2"/>
  <c r="BK27" i="2"/>
  <c r="BI5" i="2"/>
  <c r="BH5" i="2"/>
  <c r="BP34" i="2"/>
  <c r="BO35" i="2"/>
  <c r="BN24" i="2"/>
  <c r="BM25" i="2"/>
  <c r="BL26" i="2" s="1"/>
  <c r="BN36" i="2" l="1"/>
  <c r="BN37" i="2" s="1"/>
  <c r="BK5" i="2"/>
  <c r="BI28" i="2"/>
  <c r="BL5" i="2"/>
  <c r="BL27" i="2"/>
  <c r="BQ34" i="2"/>
  <c r="BP35" i="2"/>
  <c r="BO36" i="2" s="1"/>
  <c r="BO24" i="2"/>
  <c r="BN25" i="2"/>
  <c r="BM26" i="2" s="1"/>
  <c r="BJ28" i="2" l="1"/>
  <c r="BK28" i="2" s="1"/>
  <c r="BL28" i="2" s="1"/>
  <c r="BM28" i="2" s="1"/>
  <c r="BN28" i="2" s="1"/>
  <c r="BO37" i="2"/>
  <c r="BM27" i="2"/>
  <c r="BR34" i="2"/>
  <c r="BQ35" i="2"/>
  <c r="BP24" i="2"/>
  <c r="BO25" i="2"/>
  <c r="BN26" i="2" s="1"/>
  <c r="BP36" i="2" l="1"/>
  <c r="BP37" i="2" s="1"/>
  <c r="BO28" i="2"/>
  <c r="BN27" i="2"/>
  <c r="BS34" i="2"/>
  <c r="BR35" i="2"/>
  <c r="BQ24" i="2"/>
  <c r="BP25" i="2"/>
  <c r="BO26" i="2" s="1"/>
  <c r="BQ36" i="2" l="1"/>
  <c r="BQ37" i="2" s="1"/>
  <c r="BP28" i="2"/>
  <c r="BO27" i="2"/>
  <c r="BS35" i="2"/>
  <c r="BT34" i="2"/>
  <c r="BR24" i="2"/>
  <c r="BQ25" i="2"/>
  <c r="BP26" i="2" s="1"/>
  <c r="BR36" i="2" l="1"/>
  <c r="BR37" i="2" s="1"/>
  <c r="BQ28" i="2"/>
  <c r="BP27" i="2"/>
  <c r="BT35" i="2"/>
  <c r="BU34" i="2"/>
  <c r="BS24" i="2"/>
  <c r="BR25" i="2"/>
  <c r="BQ26" i="2" s="1"/>
  <c r="BS36" i="2" l="1"/>
  <c r="BS37" i="2" s="1"/>
  <c r="BR28" i="2"/>
  <c r="BQ27" i="2"/>
  <c r="BU35" i="2"/>
  <c r="BV34" i="2"/>
  <c r="BT24" i="2"/>
  <c r="BS25" i="2"/>
  <c r="BR26" i="2" s="1"/>
  <c r="BT36" i="2" l="1"/>
  <c r="BT37" i="2" s="1"/>
  <c r="BS28" i="2"/>
  <c r="BR27" i="2"/>
  <c r="BV35" i="2"/>
  <c r="BW34" i="2"/>
  <c r="BU24" i="2"/>
  <c r="BT25" i="2"/>
  <c r="BS26" i="2" s="1"/>
  <c r="BU36" i="2" l="1"/>
  <c r="BU37" i="2" s="1"/>
  <c r="BT28" i="2"/>
  <c r="BS27" i="2"/>
  <c r="BW35" i="2"/>
  <c r="BX34" i="2"/>
  <c r="BV24" i="2"/>
  <c r="BU25" i="2"/>
  <c r="BT26" i="2" s="1"/>
  <c r="BV36" i="2" l="1"/>
  <c r="BV37" i="2" s="1"/>
  <c r="BU28" i="2"/>
  <c r="BT27" i="2"/>
  <c r="BX35" i="2"/>
  <c r="BY34" i="2"/>
  <c r="BW24" i="2"/>
  <c r="BV25" i="2"/>
  <c r="BU26" i="2" s="1"/>
  <c r="BW36" i="2" l="1"/>
  <c r="BW37" i="2" s="1"/>
  <c r="BV28" i="2"/>
  <c r="BU27" i="2"/>
  <c r="BY35" i="2"/>
  <c r="BZ34" i="2"/>
  <c r="BX24" i="2"/>
  <c r="BW25" i="2"/>
  <c r="BV26" i="2" s="1"/>
  <c r="BX36" i="2" l="1"/>
  <c r="BX37" i="2" s="1"/>
  <c r="BW28" i="2"/>
  <c r="BV27" i="2"/>
  <c r="BZ35" i="2"/>
  <c r="CA34" i="2"/>
  <c r="BY24" i="2"/>
  <c r="BX25" i="2"/>
  <c r="BW26" i="2" s="1"/>
  <c r="BY36" i="2" l="1"/>
  <c r="BY37" i="2" s="1"/>
  <c r="BX28" i="2"/>
  <c r="BW27" i="2"/>
  <c r="CA35" i="2"/>
  <c r="CB34" i="2"/>
  <c r="BZ24" i="2"/>
  <c r="BY25" i="2"/>
  <c r="BX26" i="2" s="1"/>
  <c r="BZ36" i="2" l="1"/>
  <c r="BZ37" i="2" s="1"/>
  <c r="BY28" i="2"/>
  <c r="BX27" i="2"/>
  <c r="CB35" i="2"/>
  <c r="CC34" i="2"/>
  <c r="CA24" i="2"/>
  <c r="BZ25" i="2"/>
  <c r="BY26" i="2" s="1"/>
  <c r="CA36" i="2" l="1"/>
  <c r="CA37" i="2" s="1"/>
  <c r="BZ28" i="2"/>
  <c r="BY27" i="2"/>
  <c r="CC35" i="2"/>
  <c r="CD34" i="2"/>
  <c r="CB24" i="2"/>
  <c r="CA25" i="2"/>
  <c r="BZ26" i="2" s="1"/>
  <c r="CB36" i="2" l="1"/>
  <c r="CB37" i="2" s="1"/>
  <c r="CA28" i="2"/>
  <c r="BZ27" i="2"/>
  <c r="CD35" i="2"/>
  <c r="CE34" i="2"/>
  <c r="CC24" i="2"/>
  <c r="CB25" i="2"/>
  <c r="CA26" i="2" s="1"/>
  <c r="CC36" i="2" l="1"/>
  <c r="CC37" i="2" s="1"/>
  <c r="CB28" i="2"/>
  <c r="CA27" i="2"/>
  <c r="CE35" i="2"/>
  <c r="CF34" i="2"/>
  <c r="CG34" i="2" s="1"/>
  <c r="CD24" i="2"/>
  <c r="CC25" i="2"/>
  <c r="CB26" i="2" s="1"/>
  <c r="CD36" i="2" l="1"/>
  <c r="CD37" i="2" s="1"/>
  <c r="CC28" i="2"/>
  <c r="CB27" i="2"/>
  <c r="CF35" i="2"/>
  <c r="CE36" i="2" s="1"/>
  <c r="CG35" i="2"/>
  <c r="CE24" i="2"/>
  <c r="CD25" i="2"/>
  <c r="CC26" i="2" s="1"/>
  <c r="CF36" i="2" l="1"/>
  <c r="CE37" i="2"/>
  <c r="BM9" i="2"/>
  <c r="CD28" i="2"/>
  <c r="CC27" i="2"/>
  <c r="CF24" i="2"/>
  <c r="CG24" i="2" s="1"/>
  <c r="CE25" i="2"/>
  <c r="CD26" i="2" s="1"/>
  <c r="CE28" i="2" l="1"/>
  <c r="CD27" i="2"/>
  <c r="CF37" i="2"/>
  <c r="BI9" i="2"/>
  <c r="CG25" i="2"/>
  <c r="CF25" i="2"/>
  <c r="BM7" i="2" l="1"/>
  <c r="BM12" i="2" s="1"/>
  <c r="Q26" i="5" s="1"/>
  <c r="CE26" i="2"/>
  <c r="CE27" i="2" s="1"/>
  <c r="CF26" i="2"/>
  <c r="BH9" i="2"/>
  <c r="CF28" i="2"/>
  <c r="BK7" i="2" s="1"/>
  <c r="U20" i="2" l="1"/>
  <c r="X20" i="2"/>
  <c r="BI7" i="2"/>
  <c r="BI12" i="2" s="1"/>
  <c r="BJ12" i="2" s="1"/>
  <c r="S29" i="5" s="1"/>
  <c r="BH38" i="2"/>
  <c r="BL7" i="2"/>
  <c r="CF27" i="2"/>
  <c r="BH7" i="2" s="1"/>
  <c r="BH12" i="2" s="1"/>
  <c r="Q28" i="5" l="1"/>
  <c r="U18" i="2"/>
  <c r="Q30" i="5"/>
  <c r="BI38" i="2"/>
  <c r="BJ38" i="2" s="1"/>
  <c r="BK38" i="2" s="1"/>
  <c r="BL38" i="2" s="1"/>
  <c r="BM38" i="2" s="1"/>
  <c r="BN38" i="2" s="1"/>
  <c r="BO38" i="2" s="1"/>
  <c r="BP38" i="2" s="1"/>
  <c r="BQ38" i="2" s="1"/>
  <c r="BR38" i="2" s="1"/>
  <c r="BS38" i="2" s="1"/>
  <c r="BT38" i="2" s="1"/>
  <c r="BU38" i="2" s="1"/>
  <c r="BV38" i="2" s="1"/>
  <c r="BW38" i="2" s="1"/>
  <c r="BX38" i="2" s="1"/>
  <c r="BY38" i="2" s="1"/>
  <c r="BZ38" i="2" s="1"/>
  <c r="CA38" i="2" s="1"/>
  <c r="CB38" i="2" s="1"/>
  <c r="CC38" i="2" s="1"/>
  <c r="CD38" i="2" s="1"/>
  <c r="CE38" i="2" s="1"/>
  <c r="CF38" i="2" s="1"/>
  <c r="AN42" i="5" l="1"/>
  <c r="AN44" i="5" s="1"/>
  <c r="AR42" i="5"/>
  <c r="AR44" i="5" s="1"/>
  <c r="V42" i="5"/>
  <c r="V44" i="5" s="1"/>
  <c r="AB42" i="5"/>
  <c r="AB44" i="5" s="1"/>
  <c r="AV42" i="5"/>
  <c r="AV44" i="5" s="1"/>
  <c r="T42" i="5"/>
  <c r="T44" i="5" s="1"/>
  <c r="BD42" i="5"/>
  <c r="BD44" i="5" s="1"/>
  <c r="AZ42" i="5"/>
  <c r="AZ44" i="5" s="1"/>
  <c r="AF42" i="5"/>
  <c r="AF44" i="5" s="1"/>
  <c r="AH42" i="5"/>
  <c r="AH44" i="5" s="1"/>
  <c r="AA42" i="5"/>
  <c r="AA44" i="5" s="1"/>
  <c r="AE42" i="5"/>
  <c r="AE44" i="5" s="1"/>
  <c r="Y42" i="5"/>
  <c r="Y44" i="5" s="1"/>
  <c r="AU42" i="5"/>
  <c r="AU44" i="5" s="1"/>
  <c r="AJ42" i="5"/>
  <c r="AJ44" i="5" s="1"/>
  <c r="AL42" i="5"/>
  <c r="AL44" i="5" s="1"/>
  <c r="Z42" i="5"/>
  <c r="Z44" i="5" s="1"/>
  <c r="AS42" i="5"/>
  <c r="AS44" i="5" s="1"/>
  <c r="BB42" i="5"/>
  <c r="BB44" i="5" s="1"/>
  <c r="AD42" i="5"/>
  <c r="AD44" i="5" s="1"/>
  <c r="AG42" i="5"/>
  <c r="AG44" i="5" s="1"/>
  <c r="AM42" i="5"/>
  <c r="AM44" i="5" s="1"/>
  <c r="AT42" i="5"/>
  <c r="AT44" i="5" s="1"/>
  <c r="W42" i="5"/>
  <c r="W44" i="5" s="1"/>
  <c r="BE42" i="5"/>
  <c r="BE44" i="5" s="1"/>
  <c r="AK42" i="5"/>
  <c r="AK44" i="5" s="1"/>
  <c r="AY42" i="5"/>
  <c r="AY44" i="5" s="1"/>
  <c r="AX42" i="5"/>
  <c r="AX44" i="5" s="1"/>
  <c r="U42" i="5"/>
  <c r="U44" i="5" s="1"/>
  <c r="X42" i="5"/>
  <c r="X44" i="5" s="1"/>
  <c r="BA42" i="5"/>
  <c r="BA44" i="5" s="1"/>
  <c r="AP42" i="5"/>
  <c r="AP44" i="5" s="1"/>
  <c r="BC42" i="5"/>
  <c r="BC44" i="5" s="1"/>
  <c r="AI42" i="5"/>
  <c r="AI44" i="5" s="1"/>
  <c r="AC42" i="5"/>
  <c r="AC44" i="5" s="1"/>
  <c r="AW42" i="5"/>
  <c r="AW44" i="5" s="1"/>
  <c r="AQ42" i="5"/>
  <c r="AQ44" i="5" s="1"/>
  <c r="AO42" i="5"/>
  <c r="AO44" i="5" s="1"/>
  <c r="AK41" i="5"/>
  <c r="AK43" i="5" s="1"/>
  <c r="AW41" i="5"/>
  <c r="AW43" i="5" s="1"/>
  <c r="AT41" i="5"/>
  <c r="AT43" i="5" s="1"/>
  <c r="Z41" i="5"/>
  <c r="Z43" i="5" s="1"/>
  <c r="AZ41" i="5"/>
  <c r="AZ43" i="5" s="1"/>
  <c r="AO41" i="5"/>
  <c r="AO43" i="5" s="1"/>
  <c r="BA41" i="5"/>
  <c r="BA43" i="5" s="1"/>
  <c r="AM41" i="5"/>
  <c r="AM43" i="5" s="1"/>
  <c r="AI41" i="5"/>
  <c r="AI43" i="5" s="1"/>
  <c r="X41" i="5"/>
  <c r="X43" i="5" s="1"/>
  <c r="AF41" i="5"/>
  <c r="AF43" i="5" s="1"/>
  <c r="AE41" i="5"/>
  <c r="AE43" i="5" s="1"/>
  <c r="AX41" i="5"/>
  <c r="AX43" i="5" s="1"/>
  <c r="AV41" i="5"/>
  <c r="AV43" i="5" s="1"/>
  <c r="AP41" i="5"/>
  <c r="AP43" i="5" s="1"/>
  <c r="AL41" i="5"/>
  <c r="AL43" i="5" s="1"/>
  <c r="V41" i="5"/>
  <c r="V43" i="5" s="1"/>
  <c r="AA41" i="5"/>
  <c r="AA43" i="5" s="1"/>
  <c r="AR41" i="5"/>
  <c r="AR43" i="5" s="1"/>
  <c r="BE41" i="5"/>
  <c r="BE43" i="5" s="1"/>
  <c r="AU41" i="5"/>
  <c r="AU43" i="5" s="1"/>
  <c r="T41" i="5"/>
  <c r="T43" i="5" s="1"/>
  <c r="AQ41" i="5"/>
  <c r="AQ43" i="5" s="1"/>
  <c r="AC41" i="5"/>
  <c r="AC43" i="5" s="1"/>
  <c r="W41" i="5"/>
  <c r="W43" i="5" s="1"/>
  <c r="AB41" i="5"/>
  <c r="AB43" i="5" s="1"/>
  <c r="AY41" i="5"/>
  <c r="AY43" i="5" s="1"/>
  <c r="AD41" i="5"/>
  <c r="AD43" i="5" s="1"/>
  <c r="BC41" i="5"/>
  <c r="BC43" i="5" s="1"/>
  <c r="AJ41" i="5"/>
  <c r="AJ43" i="5" s="1"/>
  <c r="AH41" i="5"/>
  <c r="AH43" i="5" s="1"/>
  <c r="AN41" i="5"/>
  <c r="AN43" i="5" s="1"/>
  <c r="AS41" i="5"/>
  <c r="AS43" i="5" s="1"/>
  <c r="BD41" i="5"/>
  <c r="BD43" i="5" s="1"/>
  <c r="BB41" i="5"/>
  <c r="BB43" i="5" s="1"/>
  <c r="Y41" i="5"/>
  <c r="Y43" i="5" s="1"/>
  <c r="AG41" i="5"/>
  <c r="AG43" i="5" s="1"/>
  <c r="U41" i="5"/>
  <c r="U43" i="5" s="1"/>
  <c r="S42" i="5"/>
  <c r="S44" i="5" s="1"/>
  <c r="O42" i="5"/>
  <c r="O44" i="5" s="1"/>
  <c r="Q42" i="5"/>
  <c r="Q44" i="5" s="1"/>
  <c r="P42" i="5"/>
  <c r="P44" i="5" s="1"/>
  <c r="R42" i="5"/>
  <c r="R44" i="5" s="1"/>
  <c r="R41" i="5"/>
  <c r="R43" i="5" s="1"/>
  <c r="S41" i="5"/>
  <c r="S43" i="5" s="1"/>
  <c r="O41" i="5"/>
  <c r="O43" i="5" s="1"/>
  <c r="Q41" i="5"/>
  <c r="Q43" i="5" s="1"/>
  <c r="P41" i="5"/>
  <c r="P43" i="5" s="1"/>
  <c r="G42" i="5"/>
  <c r="G44" i="5" s="1"/>
  <c r="K42" i="5"/>
  <c r="K44" i="5" s="1"/>
  <c r="D42" i="5"/>
  <c r="D44" i="5" s="1"/>
  <c r="H42" i="5"/>
  <c r="H44" i="5" s="1"/>
  <c r="L42" i="5"/>
  <c r="L44" i="5" s="1"/>
  <c r="E42" i="5"/>
  <c r="E44" i="5" s="1"/>
  <c r="M42" i="5"/>
  <c r="M44" i="5" s="1"/>
  <c r="N42" i="5"/>
  <c r="N44" i="5" s="1"/>
  <c r="J42" i="5"/>
  <c r="F42" i="5"/>
  <c r="F44" i="5" s="1"/>
  <c r="I42" i="5"/>
  <c r="I44" i="5" s="1"/>
  <c r="E41" i="5"/>
  <c r="E43" i="5" s="1"/>
  <c r="K41" i="5"/>
  <c r="K43" i="5" s="1"/>
  <c r="G41" i="5"/>
  <c r="G43" i="5" s="1"/>
  <c r="D41" i="5"/>
  <c r="D43" i="5" s="1"/>
  <c r="M41" i="5"/>
  <c r="M43" i="5" s="1"/>
  <c r="H41" i="5"/>
  <c r="H43" i="5" s="1"/>
  <c r="L41" i="5"/>
  <c r="L43" i="5" s="1"/>
  <c r="I41" i="5"/>
  <c r="I43" i="5" s="1"/>
  <c r="N41" i="5"/>
  <c r="N43" i="5" s="1"/>
  <c r="J41" i="5"/>
  <c r="F41" i="5"/>
  <c r="F43" i="5" s="1"/>
  <c r="C41" i="5"/>
  <c r="BK9" i="2"/>
  <c r="C42" i="5"/>
  <c r="C44" i="5" s="1"/>
  <c r="BL9" i="2"/>
  <c r="AN45" i="5" l="1"/>
  <c r="AN58" i="5" s="1"/>
  <c r="AN48" i="5"/>
  <c r="AD48" i="5"/>
  <c r="AD45" i="5"/>
  <c r="AD58" i="5" s="1"/>
  <c r="BE45" i="5"/>
  <c r="BE58" i="5" s="1"/>
  <c r="BE48" i="5"/>
  <c r="AE48" i="5"/>
  <c r="AE45" i="5"/>
  <c r="AE58" i="5" s="1"/>
  <c r="Z45" i="5"/>
  <c r="Z58" i="5" s="1"/>
  <c r="Z48" i="5"/>
  <c r="AH48" i="5"/>
  <c r="AH45" i="5"/>
  <c r="AH58" i="5" s="1"/>
  <c r="AQ48" i="5"/>
  <c r="AQ45" i="5"/>
  <c r="AQ58" i="5" s="1"/>
  <c r="AP45" i="5"/>
  <c r="AP58" i="5" s="1"/>
  <c r="AP48" i="5"/>
  <c r="BA45" i="5"/>
  <c r="BA58" i="5" s="1"/>
  <c r="BA48" i="5"/>
  <c r="AT45" i="5"/>
  <c r="AT58" i="5" s="1"/>
  <c r="AT48" i="5"/>
  <c r="U48" i="5"/>
  <c r="U45" i="5"/>
  <c r="U58" i="5" s="1"/>
  <c r="BD48" i="5"/>
  <c r="BD45" i="5"/>
  <c r="BD58" i="5" s="1"/>
  <c r="AJ48" i="5"/>
  <c r="AJ45" i="5"/>
  <c r="AJ58" i="5" s="1"/>
  <c r="AB45" i="5"/>
  <c r="AB58" i="5" s="1"/>
  <c r="AB48" i="5"/>
  <c r="T48" i="5"/>
  <c r="T45" i="5"/>
  <c r="T58" i="5" s="1"/>
  <c r="AA45" i="5"/>
  <c r="AA58" i="5" s="1"/>
  <c r="AA48" i="5"/>
  <c r="AV48" i="5"/>
  <c r="AV45" i="5"/>
  <c r="AV58" i="5" s="1"/>
  <c r="X45" i="5"/>
  <c r="X58" i="5" s="1"/>
  <c r="X48" i="5"/>
  <c r="AO45" i="5"/>
  <c r="AO58" i="5" s="1"/>
  <c r="AO48" i="5"/>
  <c r="AW45" i="5"/>
  <c r="AW58" i="5" s="1"/>
  <c r="AW48" i="5"/>
  <c r="Y45" i="5"/>
  <c r="Y58" i="5" s="1"/>
  <c r="Y48" i="5"/>
  <c r="AC45" i="5"/>
  <c r="AC58" i="5" s="1"/>
  <c r="AC48" i="5"/>
  <c r="AL45" i="5"/>
  <c r="AL58" i="5" s="1"/>
  <c r="AL48" i="5"/>
  <c r="AM48" i="5"/>
  <c r="AM45" i="5"/>
  <c r="AM58" i="5" s="1"/>
  <c r="BB48" i="5"/>
  <c r="BB45" i="5"/>
  <c r="BB58" i="5" s="1"/>
  <c r="AY48" i="5"/>
  <c r="AY45" i="5"/>
  <c r="AY58" i="5" s="1"/>
  <c r="AR48" i="5"/>
  <c r="AR45" i="5"/>
  <c r="AR58" i="5" s="1"/>
  <c r="AF45" i="5"/>
  <c r="AF58" i="5" s="1"/>
  <c r="AF48" i="5"/>
  <c r="AG45" i="5"/>
  <c r="AG58" i="5" s="1"/>
  <c r="AG48" i="5"/>
  <c r="AS45" i="5"/>
  <c r="AS58" i="5" s="1"/>
  <c r="AS48" i="5"/>
  <c r="BC45" i="5"/>
  <c r="BC58" i="5" s="1"/>
  <c r="BC48" i="5"/>
  <c r="W48" i="5"/>
  <c r="W45" i="5"/>
  <c r="W58" i="5" s="1"/>
  <c r="AU48" i="5"/>
  <c r="AU45" i="5"/>
  <c r="AU58" i="5" s="1"/>
  <c r="V45" i="5"/>
  <c r="V58" i="5" s="1"/>
  <c r="V48" i="5"/>
  <c r="AX48" i="5"/>
  <c r="AX45" i="5"/>
  <c r="AX58" i="5" s="1"/>
  <c r="AI48" i="5"/>
  <c r="AI45" i="5"/>
  <c r="AI58" i="5" s="1"/>
  <c r="AZ48" i="5"/>
  <c r="AZ45" i="5"/>
  <c r="AZ58" i="5" s="1"/>
  <c r="AK48" i="5"/>
  <c r="AK45" i="5"/>
  <c r="AK58" i="5" s="1"/>
  <c r="R48" i="5"/>
  <c r="R45" i="5"/>
  <c r="R58" i="5" s="1"/>
  <c r="P45" i="5"/>
  <c r="P58" i="5" s="1"/>
  <c r="P48" i="5"/>
  <c r="S48" i="5"/>
  <c r="S45" i="5"/>
  <c r="S58" i="5" s="1"/>
  <c r="Q45" i="5"/>
  <c r="Q58" i="5" s="1"/>
  <c r="Q48" i="5"/>
  <c r="O45" i="5"/>
  <c r="O58" i="5" s="1"/>
  <c r="O48" i="5"/>
  <c r="J43" i="5"/>
  <c r="J48" i="5" s="1"/>
  <c r="J44" i="5"/>
  <c r="N48" i="5"/>
  <c r="N45" i="5"/>
  <c r="N58" i="5" s="1"/>
  <c r="M45" i="5"/>
  <c r="M58" i="5" s="1"/>
  <c r="M48" i="5"/>
  <c r="E48" i="5"/>
  <c r="E45" i="5"/>
  <c r="E58" i="5" s="1"/>
  <c r="I45" i="5"/>
  <c r="I58" i="5" s="1"/>
  <c r="I48" i="5"/>
  <c r="D45" i="5"/>
  <c r="D58" i="5" s="1"/>
  <c r="D48" i="5"/>
  <c r="F45" i="5"/>
  <c r="F58" i="5" s="1"/>
  <c r="F48" i="5"/>
  <c r="L45" i="5"/>
  <c r="L58" i="5" s="1"/>
  <c r="L48" i="5"/>
  <c r="G45" i="5"/>
  <c r="G58" i="5" s="1"/>
  <c r="G48" i="5"/>
  <c r="H45" i="5"/>
  <c r="H58" i="5" s="1"/>
  <c r="H48" i="5"/>
  <c r="K48" i="5"/>
  <c r="K45" i="5"/>
  <c r="K58" i="5" s="1"/>
  <c r="C43" i="5"/>
  <c r="BL12" i="2"/>
  <c r="U6" i="2" s="1"/>
  <c r="O26" i="5" s="1"/>
  <c r="BD50" i="5" s="1"/>
  <c r="AK47" i="5" l="1"/>
  <c r="AI47" i="5"/>
  <c r="Y47" i="5"/>
  <c r="BD47" i="5"/>
  <c r="U50" i="5"/>
  <c r="U59" i="5" s="1"/>
  <c r="Y50" i="5"/>
  <c r="Y59" i="5" s="1"/>
  <c r="AC50" i="5"/>
  <c r="AC59" i="5" s="1"/>
  <c r="AG50" i="5"/>
  <c r="AK50" i="5"/>
  <c r="AK59" i="5" s="1"/>
  <c r="AO50" i="5"/>
  <c r="AO59" i="5" s="1"/>
  <c r="AS50" i="5"/>
  <c r="AS59" i="5" s="1"/>
  <c r="AW50" i="5"/>
  <c r="AW59" i="5" s="1"/>
  <c r="BA50" i="5"/>
  <c r="BA59" i="5" s="1"/>
  <c r="BE50" i="5"/>
  <c r="BE59" i="5" s="1"/>
  <c r="V50" i="5"/>
  <c r="V59" i="5" s="1"/>
  <c r="Z50" i="5"/>
  <c r="Z59" i="5" s="1"/>
  <c r="AD50" i="5"/>
  <c r="AH50" i="5"/>
  <c r="AH59" i="5" s="1"/>
  <c r="AL50" i="5"/>
  <c r="AL59" i="5" s="1"/>
  <c r="AP50" i="5"/>
  <c r="AP59" i="5" s="1"/>
  <c r="AT50" i="5"/>
  <c r="AT59" i="5" s="1"/>
  <c r="AX50" i="5"/>
  <c r="AX59" i="5" s="1"/>
  <c r="BB50" i="5"/>
  <c r="BB59" i="5" s="1"/>
  <c r="X50" i="5"/>
  <c r="X59" i="5" s="1"/>
  <c r="AF50" i="5"/>
  <c r="AF59" i="5" s="1"/>
  <c r="AN50" i="5"/>
  <c r="AN59" i="5" s="1"/>
  <c r="AV50" i="5"/>
  <c r="AV59" i="5" s="1"/>
  <c r="BD59" i="5"/>
  <c r="AJ50" i="5"/>
  <c r="AM50" i="5"/>
  <c r="AM59" i="5" s="1"/>
  <c r="AA50" i="5"/>
  <c r="AA59" i="5" s="1"/>
  <c r="AI50" i="5"/>
  <c r="AI59" i="5" s="1"/>
  <c r="AQ50" i="5"/>
  <c r="AQ59" i="5" s="1"/>
  <c r="AY50" i="5"/>
  <c r="AY59" i="5" s="1"/>
  <c r="T50" i="5"/>
  <c r="T59" i="5" s="1"/>
  <c r="AB50" i="5"/>
  <c r="AB59" i="5" s="1"/>
  <c r="AR50" i="5"/>
  <c r="AR59" i="5" s="1"/>
  <c r="AZ50" i="5"/>
  <c r="AZ59" i="5" s="1"/>
  <c r="W50" i="5"/>
  <c r="W59" i="5" s="1"/>
  <c r="AE50" i="5"/>
  <c r="AE59" i="5" s="1"/>
  <c r="AU50" i="5"/>
  <c r="AU59" i="5" s="1"/>
  <c r="BC50" i="5"/>
  <c r="BC59" i="5" s="1"/>
  <c r="BC47" i="5"/>
  <c r="AG59" i="5"/>
  <c r="AG47" i="5"/>
  <c r="AR47" i="5"/>
  <c r="BB47" i="5"/>
  <c r="AT47" i="5"/>
  <c r="AP47" i="5"/>
  <c r="Z47" i="5"/>
  <c r="AN47" i="5"/>
  <c r="V47" i="5"/>
  <c r="AS47" i="5"/>
  <c r="AY47" i="5"/>
  <c r="AM47" i="5"/>
  <c r="AW47" i="5"/>
  <c r="X47" i="5"/>
  <c r="AA47" i="5"/>
  <c r="AB47" i="5"/>
  <c r="BA47" i="5"/>
  <c r="W47" i="5"/>
  <c r="AL47" i="5"/>
  <c r="AQ47" i="5"/>
  <c r="AE47" i="5"/>
  <c r="AD59" i="5"/>
  <c r="AD47" i="5"/>
  <c r="AO47" i="5"/>
  <c r="BE47" i="5"/>
  <c r="BE49" i="5" s="1"/>
  <c r="AZ47" i="5"/>
  <c r="AX47" i="5"/>
  <c r="AU47" i="5"/>
  <c r="AF47" i="5"/>
  <c r="AC47" i="5"/>
  <c r="AV47" i="5"/>
  <c r="T47" i="5"/>
  <c r="AJ47" i="5"/>
  <c r="AJ59" i="5"/>
  <c r="U47" i="5"/>
  <c r="AH47" i="5"/>
  <c r="P47" i="5"/>
  <c r="O47" i="5"/>
  <c r="Q47" i="5"/>
  <c r="S47" i="5"/>
  <c r="R47" i="5"/>
  <c r="P50" i="5"/>
  <c r="P59" i="5" s="1"/>
  <c r="Q50" i="5"/>
  <c r="Q59" i="5" s="1"/>
  <c r="R50" i="5"/>
  <c r="R59" i="5" s="1"/>
  <c r="O50" i="5"/>
  <c r="O59" i="5" s="1"/>
  <c r="S50" i="5"/>
  <c r="S59" i="5" s="1"/>
  <c r="J45" i="5"/>
  <c r="O27" i="5"/>
  <c r="D50" i="5"/>
  <c r="D59" i="5" s="1"/>
  <c r="H50" i="5"/>
  <c r="H59" i="5" s="1"/>
  <c r="L50" i="5"/>
  <c r="L59" i="5" s="1"/>
  <c r="E50" i="5"/>
  <c r="E59" i="5" s="1"/>
  <c r="I50" i="5"/>
  <c r="I59" i="5" s="1"/>
  <c r="M50" i="5"/>
  <c r="M59" i="5" s="1"/>
  <c r="F50" i="5"/>
  <c r="F59" i="5" s="1"/>
  <c r="J50" i="5"/>
  <c r="J59" i="5" s="1"/>
  <c r="N50" i="5"/>
  <c r="N59" i="5" s="1"/>
  <c r="C50" i="5"/>
  <c r="G50" i="5"/>
  <c r="G59" i="5" s="1"/>
  <c r="K50" i="5"/>
  <c r="K59" i="5" s="1"/>
  <c r="H47" i="5"/>
  <c r="H49" i="5" s="1"/>
  <c r="G47" i="5"/>
  <c r="G49" i="5" s="1"/>
  <c r="F47" i="5"/>
  <c r="F49" i="5" s="1"/>
  <c r="I47" i="5"/>
  <c r="I49" i="5" s="1"/>
  <c r="M47" i="5"/>
  <c r="M49" i="5" s="1"/>
  <c r="L47" i="5"/>
  <c r="L49" i="5" s="1"/>
  <c r="D47" i="5"/>
  <c r="D49" i="5" s="1"/>
  <c r="K47" i="5"/>
  <c r="K49" i="5" s="1"/>
  <c r="J47" i="5"/>
  <c r="E47" i="5"/>
  <c r="E49" i="5" s="1"/>
  <c r="N47" i="5"/>
  <c r="N49" i="5" s="1"/>
  <c r="C45" i="5"/>
  <c r="C58" i="5" s="1"/>
  <c r="C48" i="5"/>
  <c r="O29" i="5"/>
  <c r="P37" i="5" l="1"/>
  <c r="P64" i="5" s="1"/>
  <c r="T37" i="5"/>
  <c r="T64" i="5" s="1"/>
  <c r="X37" i="5"/>
  <c r="X64" i="5" s="1"/>
  <c r="AB37" i="5"/>
  <c r="AB64" i="5" s="1"/>
  <c r="AF37" i="5"/>
  <c r="AF64" i="5" s="1"/>
  <c r="AJ37" i="5"/>
  <c r="AJ64" i="5" s="1"/>
  <c r="AN37" i="5"/>
  <c r="AN64" i="5" s="1"/>
  <c r="AR37" i="5"/>
  <c r="AR64" i="5" s="1"/>
  <c r="AV37" i="5"/>
  <c r="AV64" i="5" s="1"/>
  <c r="AZ37" i="5"/>
  <c r="AZ64" i="5" s="1"/>
  <c r="BD37" i="5"/>
  <c r="BD64" i="5" s="1"/>
  <c r="Q37" i="5"/>
  <c r="Q64" i="5" s="1"/>
  <c r="U37" i="5"/>
  <c r="U64" i="5" s="1"/>
  <c r="Y37" i="5"/>
  <c r="Y64" i="5" s="1"/>
  <c r="AC37" i="5"/>
  <c r="AC64" i="5" s="1"/>
  <c r="AG37" i="5"/>
  <c r="AG64" i="5" s="1"/>
  <c r="AK37" i="5"/>
  <c r="AK64" i="5" s="1"/>
  <c r="AO37" i="5"/>
  <c r="AO64" i="5" s="1"/>
  <c r="AS37" i="5"/>
  <c r="AS64" i="5" s="1"/>
  <c r="AW37" i="5"/>
  <c r="AW64" i="5" s="1"/>
  <c r="BA37" i="5"/>
  <c r="BA64" i="5" s="1"/>
  <c r="BE37" i="5"/>
  <c r="BE64" i="5" s="1"/>
  <c r="N37" i="5"/>
  <c r="N64" i="5" s="1"/>
  <c r="R37" i="5"/>
  <c r="R64" i="5" s="1"/>
  <c r="V37" i="5"/>
  <c r="V64" i="5" s="1"/>
  <c r="Z37" i="5"/>
  <c r="Z64" i="5" s="1"/>
  <c r="AD37" i="5"/>
  <c r="AD64" i="5" s="1"/>
  <c r="AH37" i="5"/>
  <c r="AH64" i="5" s="1"/>
  <c r="AL37" i="5"/>
  <c r="AL64" i="5" s="1"/>
  <c r="AP37" i="5"/>
  <c r="AP64" i="5" s="1"/>
  <c r="AT37" i="5"/>
  <c r="AT64" i="5" s="1"/>
  <c r="AX37" i="5"/>
  <c r="AX64" i="5" s="1"/>
  <c r="BB37" i="5"/>
  <c r="BB64" i="5" s="1"/>
  <c r="M37" i="5"/>
  <c r="M64" i="5" s="1"/>
  <c r="O37" i="5"/>
  <c r="O64" i="5" s="1"/>
  <c r="S37" i="5"/>
  <c r="S64" i="5" s="1"/>
  <c r="W37" i="5"/>
  <c r="W64" i="5" s="1"/>
  <c r="AA37" i="5"/>
  <c r="AA64" i="5" s="1"/>
  <c r="AE37" i="5"/>
  <c r="AE64" i="5" s="1"/>
  <c r="AI37" i="5"/>
  <c r="AI64" i="5" s="1"/>
  <c r="AM37" i="5"/>
  <c r="AM64" i="5" s="1"/>
  <c r="AQ37" i="5"/>
  <c r="AQ64" i="5" s="1"/>
  <c r="AU37" i="5"/>
  <c r="AU64" i="5" s="1"/>
  <c r="AY37" i="5"/>
  <c r="AY64" i="5" s="1"/>
  <c r="BC37" i="5"/>
  <c r="BC64" i="5" s="1"/>
  <c r="U49" i="5"/>
  <c r="U46" i="5"/>
  <c r="U66" i="5" s="1"/>
  <c r="AB49" i="5"/>
  <c r="AB46" i="5"/>
  <c r="AB66" i="5" s="1"/>
  <c r="AS49" i="5"/>
  <c r="AS46" i="5"/>
  <c r="AS66" i="5" s="1"/>
  <c r="AN46" i="5"/>
  <c r="AN66" i="5" s="1"/>
  <c r="AN49" i="5"/>
  <c r="AG49" i="5"/>
  <c r="AG46" i="5"/>
  <c r="AG66" i="5" s="1"/>
  <c r="BD49" i="5"/>
  <c r="BD46" i="5"/>
  <c r="BD66" i="5" s="1"/>
  <c r="T49" i="5"/>
  <c r="T46" i="5"/>
  <c r="T66" i="5" s="1"/>
  <c r="AX49" i="5"/>
  <c r="AX46" i="5"/>
  <c r="AX66" i="5" s="1"/>
  <c r="AO49" i="5"/>
  <c r="AO46" i="5"/>
  <c r="AO66" i="5" s="1"/>
  <c r="AQ49" i="5"/>
  <c r="AQ46" i="5"/>
  <c r="AQ66" i="5" s="1"/>
  <c r="AW49" i="5"/>
  <c r="AW46" i="5"/>
  <c r="AW66" i="5" s="1"/>
  <c r="BB49" i="5"/>
  <c r="BB46" i="5"/>
  <c r="BB66" i="5" s="1"/>
  <c r="AK49" i="5"/>
  <c r="AK46" i="5"/>
  <c r="AK66" i="5" s="1"/>
  <c r="J58" i="5"/>
  <c r="AH49" i="5"/>
  <c r="AH46" i="5"/>
  <c r="AH66" i="5" s="1"/>
  <c r="AJ49" i="5"/>
  <c r="AJ46" i="5"/>
  <c r="AJ66" i="5" s="1"/>
  <c r="AU49" i="5"/>
  <c r="AU46" i="5"/>
  <c r="AU66" i="5" s="1"/>
  <c r="AZ49" i="5"/>
  <c r="AZ46" i="5"/>
  <c r="AZ66" i="5" s="1"/>
  <c r="AL49" i="5"/>
  <c r="AL46" i="5"/>
  <c r="AL66" i="5" s="1"/>
  <c r="X49" i="5"/>
  <c r="X46" i="5"/>
  <c r="X66" i="5" s="1"/>
  <c r="AM49" i="5"/>
  <c r="AM46" i="5"/>
  <c r="AM66" i="5" s="1"/>
  <c r="AR49" i="5"/>
  <c r="AR46" i="5"/>
  <c r="AR66" i="5" s="1"/>
  <c r="BC49" i="5"/>
  <c r="BC46" i="5"/>
  <c r="BC66" i="5" s="1"/>
  <c r="Y49" i="5"/>
  <c r="Y46" i="5"/>
  <c r="Y66" i="5" s="1"/>
  <c r="AI49" i="5"/>
  <c r="AI46" i="5"/>
  <c r="AI66" i="5" s="1"/>
  <c r="AF49" i="5"/>
  <c r="AF46" i="5"/>
  <c r="AF66" i="5" s="1"/>
  <c r="AD49" i="5"/>
  <c r="AD46" i="5"/>
  <c r="AD66" i="5" s="1"/>
  <c r="BA49" i="5"/>
  <c r="BA46" i="5"/>
  <c r="BA66" i="5" s="1"/>
  <c r="AP49" i="5"/>
  <c r="AP46" i="5"/>
  <c r="AP66" i="5" s="1"/>
  <c r="AT49" i="5"/>
  <c r="AT46" i="5"/>
  <c r="AT66" i="5" s="1"/>
  <c r="AV49" i="5"/>
  <c r="AV46" i="5"/>
  <c r="AV66" i="5" s="1"/>
  <c r="AC49" i="5"/>
  <c r="AC46" i="5"/>
  <c r="AC66" i="5" s="1"/>
  <c r="BE46" i="5"/>
  <c r="BE66" i="5" s="1"/>
  <c r="AE49" i="5"/>
  <c r="AE46" i="5"/>
  <c r="AE66" i="5" s="1"/>
  <c r="W49" i="5"/>
  <c r="W46" i="5"/>
  <c r="W66" i="5" s="1"/>
  <c r="AA49" i="5"/>
  <c r="AA46" i="5"/>
  <c r="AA66" i="5" s="1"/>
  <c r="AY49" i="5"/>
  <c r="AY46" i="5"/>
  <c r="AY66" i="5" s="1"/>
  <c r="V49" i="5"/>
  <c r="V46" i="5"/>
  <c r="V66" i="5" s="1"/>
  <c r="Z49" i="5"/>
  <c r="Z46" i="5"/>
  <c r="Z66" i="5" s="1"/>
  <c r="H67" i="5"/>
  <c r="H52" i="5"/>
  <c r="H60" i="5" s="1"/>
  <c r="S49" i="5"/>
  <c r="S67" i="5" s="1"/>
  <c r="S46" i="5"/>
  <c r="S66" i="5" s="1"/>
  <c r="O49" i="5"/>
  <c r="O46" i="5"/>
  <c r="O66" i="5" s="1"/>
  <c r="K67" i="5"/>
  <c r="K52" i="5"/>
  <c r="K60" i="5" s="1"/>
  <c r="N67" i="5"/>
  <c r="N52" i="5"/>
  <c r="N60" i="5" s="1"/>
  <c r="D67" i="5"/>
  <c r="D52" i="5"/>
  <c r="D60" i="5" s="1"/>
  <c r="E67" i="5"/>
  <c r="E52" i="5"/>
  <c r="E60" i="5" s="1"/>
  <c r="L67" i="5"/>
  <c r="L52" i="5"/>
  <c r="L60" i="5" s="1"/>
  <c r="G67" i="5"/>
  <c r="G52" i="5"/>
  <c r="G60" i="5" s="1"/>
  <c r="M67" i="5"/>
  <c r="M52" i="5"/>
  <c r="M60" i="5" s="1"/>
  <c r="I67" i="5"/>
  <c r="I52" i="5"/>
  <c r="I60" i="5" s="1"/>
  <c r="E37" i="5"/>
  <c r="E64" i="5" s="1"/>
  <c r="F67" i="5"/>
  <c r="F52" i="5"/>
  <c r="F60" i="5" s="1"/>
  <c r="R49" i="5"/>
  <c r="R46" i="5"/>
  <c r="R66" i="5" s="1"/>
  <c r="Q49" i="5"/>
  <c r="Q46" i="5"/>
  <c r="Q66" i="5" s="1"/>
  <c r="P49" i="5"/>
  <c r="P46" i="5"/>
  <c r="P66" i="5" s="1"/>
  <c r="F37" i="5"/>
  <c r="F64" i="5" s="1"/>
  <c r="D37" i="5"/>
  <c r="D64" i="5" s="1"/>
  <c r="C59" i="5"/>
  <c r="I46" i="5"/>
  <c r="I66" i="5" s="1"/>
  <c r="K46" i="5"/>
  <c r="K66" i="5" s="1"/>
  <c r="L46" i="5"/>
  <c r="L66" i="5" s="1"/>
  <c r="E46" i="5"/>
  <c r="E66" i="5" s="1"/>
  <c r="G46" i="5"/>
  <c r="G66" i="5" s="1"/>
  <c r="J49" i="5"/>
  <c r="N46" i="5"/>
  <c r="N66" i="5" s="1"/>
  <c r="J46" i="5"/>
  <c r="J66" i="5" s="1"/>
  <c r="D46" i="5"/>
  <c r="D66" i="5" s="1"/>
  <c r="M46" i="5"/>
  <c r="M66" i="5" s="1"/>
  <c r="F46" i="5"/>
  <c r="F66" i="5" s="1"/>
  <c r="H46" i="5"/>
  <c r="H66" i="5" s="1"/>
  <c r="O28" i="5"/>
  <c r="C37" i="5"/>
  <c r="C64" i="5" s="1"/>
  <c r="I37" i="5" l="1"/>
  <c r="I64" i="5" s="1"/>
  <c r="G37" i="5"/>
  <c r="G64" i="5" s="1"/>
  <c r="J37" i="5"/>
  <c r="J64" i="5" s="1"/>
  <c r="K37" i="5"/>
  <c r="K64" i="5" s="1"/>
  <c r="H37" i="5"/>
  <c r="H64" i="5" s="1"/>
  <c r="L37" i="5"/>
  <c r="L64" i="5" s="1"/>
  <c r="W67" i="5"/>
  <c r="W52" i="5"/>
  <c r="W60" i="5" s="1"/>
  <c r="AV67" i="5"/>
  <c r="AV52" i="5"/>
  <c r="AV60" i="5" s="1"/>
  <c r="AP67" i="5"/>
  <c r="AP52" i="5"/>
  <c r="AP60" i="5" s="1"/>
  <c r="X52" i="5"/>
  <c r="X60" i="5" s="1"/>
  <c r="X67" i="5"/>
  <c r="BB67" i="5"/>
  <c r="BB52" i="5"/>
  <c r="BB60" i="5" s="1"/>
  <c r="AQ67" i="5"/>
  <c r="AQ52" i="5"/>
  <c r="AQ60" i="5" s="1"/>
  <c r="AX52" i="5"/>
  <c r="AX60" i="5" s="1"/>
  <c r="AX67" i="5"/>
  <c r="BD52" i="5"/>
  <c r="BD60" i="5" s="1"/>
  <c r="BD67" i="5"/>
  <c r="AB67" i="5"/>
  <c r="AB52" i="5"/>
  <c r="AB60" i="5" s="1"/>
  <c r="Z52" i="5"/>
  <c r="Z60" i="5" s="1"/>
  <c r="Z67" i="5"/>
  <c r="AY67" i="5"/>
  <c r="AY52" i="5"/>
  <c r="AY60" i="5" s="1"/>
  <c r="BE52" i="5"/>
  <c r="BE60" i="5" s="1"/>
  <c r="BE67" i="5"/>
  <c r="AD67" i="5"/>
  <c r="AD52" i="5"/>
  <c r="AD60" i="5" s="1"/>
  <c r="Y67" i="5"/>
  <c r="Y52" i="5"/>
  <c r="Y60" i="5" s="1"/>
  <c r="AR67" i="5"/>
  <c r="AR52" i="5"/>
  <c r="AR60" i="5" s="1"/>
  <c r="AZ67" i="5"/>
  <c r="AZ52" i="5"/>
  <c r="AZ60" i="5" s="1"/>
  <c r="AJ67" i="5"/>
  <c r="AJ52" i="5"/>
  <c r="AJ60" i="5" s="1"/>
  <c r="E53" i="5"/>
  <c r="E61" i="5" s="1"/>
  <c r="AK67" i="5"/>
  <c r="AK52" i="5"/>
  <c r="AK60" i="5" s="1"/>
  <c r="AW52" i="5"/>
  <c r="AW60" i="5" s="1"/>
  <c r="AW67" i="5"/>
  <c r="AO67" i="5"/>
  <c r="AO52" i="5"/>
  <c r="AO60" i="5" s="1"/>
  <c r="T52" i="5"/>
  <c r="T60" i="5" s="1"/>
  <c r="T67" i="5"/>
  <c r="AG52" i="5"/>
  <c r="AG60" i="5" s="1"/>
  <c r="AG67" i="5"/>
  <c r="AS67" i="5"/>
  <c r="AS52" i="5"/>
  <c r="AS60" i="5" s="1"/>
  <c r="U67" i="5"/>
  <c r="U52" i="5"/>
  <c r="U60" i="5" s="1"/>
  <c r="G53" i="5"/>
  <c r="G61" i="5" s="1"/>
  <c r="L53" i="5"/>
  <c r="L61" i="5" s="1"/>
  <c r="V67" i="5"/>
  <c r="V52" i="5"/>
  <c r="V60" i="5" s="1"/>
  <c r="AA52" i="5"/>
  <c r="AA60" i="5" s="1"/>
  <c r="AA67" i="5"/>
  <c r="AE52" i="5"/>
  <c r="AE60" i="5" s="1"/>
  <c r="AE67" i="5"/>
  <c r="AC67" i="5"/>
  <c r="AC52" i="5"/>
  <c r="AC60" i="5" s="1"/>
  <c r="AT67" i="5"/>
  <c r="AT52" i="5"/>
  <c r="AT60" i="5" s="1"/>
  <c r="BA67" i="5"/>
  <c r="BA52" i="5"/>
  <c r="BA60" i="5" s="1"/>
  <c r="AF52" i="5"/>
  <c r="AF60" i="5" s="1"/>
  <c r="AF67" i="5"/>
  <c r="AI52" i="5"/>
  <c r="AI60" i="5" s="1"/>
  <c r="AI67" i="5"/>
  <c r="BC67" i="5"/>
  <c r="BC52" i="5"/>
  <c r="BC60" i="5" s="1"/>
  <c r="AM52" i="5"/>
  <c r="AM60" i="5" s="1"/>
  <c r="AM67" i="5"/>
  <c r="AL67" i="5"/>
  <c r="AL52" i="5"/>
  <c r="AL60" i="5" s="1"/>
  <c r="AU52" i="5"/>
  <c r="AU60" i="5" s="1"/>
  <c r="AU67" i="5"/>
  <c r="AH52" i="5"/>
  <c r="AH60" i="5" s="1"/>
  <c r="AH67" i="5"/>
  <c r="AN67" i="5"/>
  <c r="AN52" i="5"/>
  <c r="AN60" i="5" s="1"/>
  <c r="P67" i="5"/>
  <c r="P52" i="5"/>
  <c r="P60" i="5" s="1"/>
  <c r="R52" i="5"/>
  <c r="R60" i="5" s="1"/>
  <c r="R67" i="5"/>
  <c r="M53" i="5"/>
  <c r="K53" i="5"/>
  <c r="S52" i="5"/>
  <c r="S60" i="5" s="1"/>
  <c r="H53" i="5"/>
  <c r="J67" i="5"/>
  <c r="J52" i="5"/>
  <c r="J60" i="5" s="1"/>
  <c r="I53" i="5"/>
  <c r="O67" i="5"/>
  <c r="O52" i="5"/>
  <c r="O60" i="5" s="1"/>
  <c r="N53" i="5"/>
  <c r="Q52" i="5"/>
  <c r="Q60" i="5" s="1"/>
  <c r="Q67" i="5"/>
  <c r="F53" i="5"/>
  <c r="D53" i="5"/>
  <c r="C47" i="5"/>
  <c r="V53" i="5" l="1"/>
  <c r="V61" i="5" s="1"/>
  <c r="L54" i="5"/>
  <c r="L55" i="5" s="1"/>
  <c r="L63" i="5" s="1"/>
  <c r="AK53" i="5"/>
  <c r="AK61" i="5" s="1"/>
  <c r="AZ53" i="5"/>
  <c r="AZ61" i="5" s="1"/>
  <c r="AR53" i="5"/>
  <c r="AR61" i="5" s="1"/>
  <c r="X53" i="5"/>
  <c r="X61" i="5" s="1"/>
  <c r="AU53" i="5"/>
  <c r="AU61" i="5" s="1"/>
  <c r="AI53" i="5"/>
  <c r="AW53" i="5"/>
  <c r="AW61" i="5" s="1"/>
  <c r="G54" i="5"/>
  <c r="G62" i="5" s="1"/>
  <c r="AF53" i="5"/>
  <c r="AF61" i="5" s="1"/>
  <c r="AS53" i="5"/>
  <c r="AS61" i="5" s="1"/>
  <c r="AG53" i="5"/>
  <c r="AH53" i="5"/>
  <c r="AC53" i="5"/>
  <c r="Z53" i="5"/>
  <c r="Z61" i="5" s="1"/>
  <c r="AQ53" i="5"/>
  <c r="AQ61" i="5" s="1"/>
  <c r="E54" i="5"/>
  <c r="E55" i="5" s="1"/>
  <c r="E63" i="5" s="1"/>
  <c r="AM53" i="5"/>
  <c r="AE53" i="5"/>
  <c r="AA53" i="5"/>
  <c r="U53" i="5"/>
  <c r="AJ53" i="5"/>
  <c r="AD53" i="5"/>
  <c r="AO53" i="5"/>
  <c r="AX53" i="5"/>
  <c r="BB53" i="5"/>
  <c r="AP53" i="5"/>
  <c r="AV53" i="5"/>
  <c r="Q53" i="5"/>
  <c r="Q61" i="5" s="1"/>
  <c r="O53" i="5"/>
  <c r="AN53" i="5"/>
  <c r="AL53" i="5"/>
  <c r="BC53" i="5"/>
  <c r="BA53" i="5"/>
  <c r="AT53" i="5"/>
  <c r="T53" i="5"/>
  <c r="Y53" i="5"/>
  <c r="BE53" i="5"/>
  <c r="AY53" i="5"/>
  <c r="AB53" i="5"/>
  <c r="BD53" i="5"/>
  <c r="W53" i="5"/>
  <c r="I61" i="5"/>
  <c r="I54" i="5"/>
  <c r="M61" i="5"/>
  <c r="M54" i="5"/>
  <c r="R53" i="5"/>
  <c r="P53" i="5"/>
  <c r="F61" i="5"/>
  <c r="F54" i="5"/>
  <c r="K61" i="5"/>
  <c r="K54" i="5"/>
  <c r="D61" i="5"/>
  <c r="D54" i="5"/>
  <c r="N61" i="5"/>
  <c r="N54" i="5"/>
  <c r="J53" i="5"/>
  <c r="H61" i="5"/>
  <c r="H54" i="5"/>
  <c r="S53" i="5"/>
  <c r="S61" i="5" s="1"/>
  <c r="C46" i="5"/>
  <c r="C66" i="5" s="1"/>
  <c r="C49" i="5"/>
  <c r="AU54" i="5" l="1"/>
  <c r="AU62" i="5" s="1"/>
  <c r="V54" i="5"/>
  <c r="V55" i="5" s="1"/>
  <c r="V63" i="5" s="1"/>
  <c r="L62" i="5"/>
  <c r="L33" i="5" s="1"/>
  <c r="AK54" i="5"/>
  <c r="AK62" i="5" s="1"/>
  <c r="AZ54" i="5"/>
  <c r="AZ62" i="5" s="1"/>
  <c r="AQ54" i="5"/>
  <c r="AQ62" i="5" s="1"/>
  <c r="X54" i="5"/>
  <c r="X55" i="5" s="1"/>
  <c r="X63" i="5" s="1"/>
  <c r="G55" i="5"/>
  <c r="G63" i="5" s="1"/>
  <c r="G33" i="5" s="1"/>
  <c r="E62" i="5"/>
  <c r="E33" i="5" s="1"/>
  <c r="AR54" i="5"/>
  <c r="AR62" i="5" s="1"/>
  <c r="AC61" i="5"/>
  <c r="AC54" i="5"/>
  <c r="Q54" i="5"/>
  <c r="Q55" i="5" s="1"/>
  <c r="Q63" i="5" s="1"/>
  <c r="AW54" i="5"/>
  <c r="AW55" i="5" s="1"/>
  <c r="AW63" i="5" s="1"/>
  <c r="AH61" i="5"/>
  <c r="AH54" i="5"/>
  <c r="AI61" i="5"/>
  <c r="AI54" i="5"/>
  <c r="AF54" i="5"/>
  <c r="AF55" i="5" s="1"/>
  <c r="AF63" i="5" s="1"/>
  <c r="Z54" i="5"/>
  <c r="Z55" i="5" s="1"/>
  <c r="Z63" i="5" s="1"/>
  <c r="AS54" i="5"/>
  <c r="AS55" i="5" s="1"/>
  <c r="AS63" i="5" s="1"/>
  <c r="AG61" i="5"/>
  <c r="AG54" i="5"/>
  <c r="AY61" i="5"/>
  <c r="AY54" i="5"/>
  <c r="AN61" i="5"/>
  <c r="AN54" i="5"/>
  <c r="AO61" i="5"/>
  <c r="AO54" i="5"/>
  <c r="AA61" i="5"/>
  <c r="AA54" i="5"/>
  <c r="BE61" i="5"/>
  <c r="BE54" i="5"/>
  <c r="BC61" i="5"/>
  <c r="BC54" i="5"/>
  <c r="O61" i="5"/>
  <c r="O54" i="5"/>
  <c r="AV61" i="5"/>
  <c r="AV54" i="5"/>
  <c r="AJ61" i="5"/>
  <c r="AJ54" i="5"/>
  <c r="AE61" i="5"/>
  <c r="AE54" i="5"/>
  <c r="AM61" i="5"/>
  <c r="AM54" i="5"/>
  <c r="BA61" i="5"/>
  <c r="BA54" i="5"/>
  <c r="BD61" i="5"/>
  <c r="BD54" i="5"/>
  <c r="Y61" i="5"/>
  <c r="Y54" i="5"/>
  <c r="T61" i="5"/>
  <c r="T54" i="5"/>
  <c r="AL61" i="5"/>
  <c r="AL54" i="5"/>
  <c r="AP61" i="5"/>
  <c r="AP54" i="5"/>
  <c r="AD61" i="5"/>
  <c r="AD54" i="5"/>
  <c r="U61" i="5"/>
  <c r="U54" i="5"/>
  <c r="AX61" i="5"/>
  <c r="AX54" i="5"/>
  <c r="W61" i="5"/>
  <c r="W54" i="5"/>
  <c r="AB61" i="5"/>
  <c r="AB54" i="5"/>
  <c r="AT61" i="5"/>
  <c r="AT54" i="5"/>
  <c r="BB61" i="5"/>
  <c r="BB54" i="5"/>
  <c r="M62" i="5"/>
  <c r="M55" i="5"/>
  <c r="M63" i="5" s="1"/>
  <c r="D62" i="5"/>
  <c r="D55" i="5"/>
  <c r="D63" i="5" s="1"/>
  <c r="C52" i="5"/>
  <c r="C53" i="5" s="1"/>
  <c r="C54" i="5" s="1"/>
  <c r="C55" i="5" s="1"/>
  <c r="S54" i="5"/>
  <c r="S62" i="5" s="1"/>
  <c r="N62" i="5"/>
  <c r="N55" i="5"/>
  <c r="N63" i="5" s="1"/>
  <c r="R61" i="5"/>
  <c r="R54" i="5"/>
  <c r="H62" i="5"/>
  <c r="H55" i="5"/>
  <c r="H63" i="5" s="1"/>
  <c r="F62" i="5"/>
  <c r="F55" i="5"/>
  <c r="F63" i="5" s="1"/>
  <c r="I62" i="5"/>
  <c r="I55" i="5"/>
  <c r="I63" i="5" s="1"/>
  <c r="J61" i="5"/>
  <c r="J54" i="5"/>
  <c r="K62" i="5"/>
  <c r="K55" i="5"/>
  <c r="K63" i="5" s="1"/>
  <c r="P61" i="5"/>
  <c r="P54" i="5"/>
  <c r="C67" i="5"/>
  <c r="AF62" i="5" l="1"/>
  <c r="AF33" i="5" s="1"/>
  <c r="AU55" i="5"/>
  <c r="AU63" i="5" s="1"/>
  <c r="AU33" i="5" s="1"/>
  <c r="AU35" i="5" s="1"/>
  <c r="V62" i="5"/>
  <c r="V33" i="5" s="1"/>
  <c r="G34" i="5"/>
  <c r="G35" i="5"/>
  <c r="Z62" i="5"/>
  <c r="Z33" i="5" s="1"/>
  <c r="E35" i="5"/>
  <c r="E34" i="5"/>
  <c r="L34" i="5"/>
  <c r="L35" i="5"/>
  <c r="AZ55" i="5"/>
  <c r="AZ63" i="5" s="1"/>
  <c r="AZ33" i="5" s="1"/>
  <c r="AK55" i="5"/>
  <c r="AK63" i="5" s="1"/>
  <c r="AK33" i="5" s="1"/>
  <c r="AQ55" i="5"/>
  <c r="AQ63" i="5" s="1"/>
  <c r="AQ33" i="5" s="1"/>
  <c r="AR55" i="5"/>
  <c r="AR63" i="5" s="1"/>
  <c r="AR33" i="5" s="1"/>
  <c r="X62" i="5"/>
  <c r="X33" i="5" s="1"/>
  <c r="AS62" i="5"/>
  <c r="AS33" i="5" s="1"/>
  <c r="D33" i="5"/>
  <c r="Q62" i="5"/>
  <c r="Q33" i="5" s="1"/>
  <c r="I33" i="5"/>
  <c r="AW62" i="5"/>
  <c r="AW33" i="5" s="1"/>
  <c r="AI62" i="5"/>
  <c r="AI55" i="5"/>
  <c r="AI63" i="5" s="1"/>
  <c r="K33" i="5"/>
  <c r="H33" i="5"/>
  <c r="N33" i="5"/>
  <c r="M33" i="5"/>
  <c r="AG62" i="5"/>
  <c r="AG55" i="5"/>
  <c r="AG63" i="5" s="1"/>
  <c r="AH62" i="5"/>
  <c r="AH55" i="5"/>
  <c r="AH63" i="5" s="1"/>
  <c r="AC62" i="5"/>
  <c r="AC55" i="5"/>
  <c r="AC63" i="5" s="1"/>
  <c r="AL62" i="5"/>
  <c r="AL55" i="5"/>
  <c r="AL63" i="5" s="1"/>
  <c r="BE62" i="5"/>
  <c r="BE55" i="5"/>
  <c r="BE63" i="5" s="1"/>
  <c r="AY62" i="5"/>
  <c r="AY55" i="5"/>
  <c r="AY63" i="5" s="1"/>
  <c r="AT62" i="5"/>
  <c r="AT55" i="5"/>
  <c r="AT63" i="5" s="1"/>
  <c r="W62" i="5"/>
  <c r="W55" i="5"/>
  <c r="W63" i="5" s="1"/>
  <c r="AD62" i="5"/>
  <c r="AD55" i="5"/>
  <c r="AD63" i="5" s="1"/>
  <c r="AM62" i="5"/>
  <c r="AM55" i="5"/>
  <c r="AM63" i="5" s="1"/>
  <c r="O62" i="5"/>
  <c r="O55" i="5"/>
  <c r="O63" i="5" s="1"/>
  <c r="AX62" i="5"/>
  <c r="AX55" i="5"/>
  <c r="AX63" i="5" s="1"/>
  <c r="U62" i="5"/>
  <c r="U55" i="5"/>
  <c r="U63" i="5" s="1"/>
  <c r="AP62" i="5"/>
  <c r="AP55" i="5"/>
  <c r="AP63" i="5" s="1"/>
  <c r="T62" i="5"/>
  <c r="T55" i="5"/>
  <c r="T63" i="5" s="1"/>
  <c r="BD62" i="5"/>
  <c r="BD55" i="5"/>
  <c r="BD63" i="5" s="1"/>
  <c r="BA62" i="5"/>
  <c r="BA55" i="5"/>
  <c r="BA63" i="5" s="1"/>
  <c r="AE62" i="5"/>
  <c r="AE55" i="5"/>
  <c r="AE63" i="5" s="1"/>
  <c r="AJ62" i="5"/>
  <c r="AJ55" i="5"/>
  <c r="AJ63" i="5" s="1"/>
  <c r="AV62" i="5"/>
  <c r="AV55" i="5"/>
  <c r="AV63" i="5" s="1"/>
  <c r="BC62" i="5"/>
  <c r="BC55" i="5"/>
  <c r="BC63" i="5" s="1"/>
  <c r="AN55" i="5"/>
  <c r="AN63" i="5" s="1"/>
  <c r="AN62" i="5"/>
  <c r="Y62" i="5"/>
  <c r="Y55" i="5"/>
  <c r="Y63" i="5" s="1"/>
  <c r="AA62" i="5"/>
  <c r="AA55" i="5"/>
  <c r="AA63" i="5" s="1"/>
  <c r="AO62" i="5"/>
  <c r="AO55" i="5"/>
  <c r="AO63" i="5" s="1"/>
  <c r="F33" i="5"/>
  <c r="BB62" i="5"/>
  <c r="BB55" i="5"/>
  <c r="BB63" i="5" s="1"/>
  <c r="AB62" i="5"/>
  <c r="AB55" i="5"/>
  <c r="AB63" i="5" s="1"/>
  <c r="P62" i="5"/>
  <c r="P55" i="5"/>
  <c r="P63" i="5" s="1"/>
  <c r="J62" i="5"/>
  <c r="J55" i="5"/>
  <c r="J63" i="5" s="1"/>
  <c r="R62" i="5"/>
  <c r="R55" i="5"/>
  <c r="R63" i="5" s="1"/>
  <c r="S55" i="5"/>
  <c r="S63" i="5" s="1"/>
  <c r="S33" i="5" s="1"/>
  <c r="C60" i="5"/>
  <c r="AU34" i="5" l="1"/>
  <c r="S35" i="5"/>
  <c r="S34" i="5"/>
  <c r="V34" i="5"/>
  <c r="V35" i="5"/>
  <c r="AF35" i="5"/>
  <c r="AF34" i="5"/>
  <c r="K34" i="5"/>
  <c r="K35" i="5"/>
  <c r="I35" i="5"/>
  <c r="I34" i="5"/>
  <c r="D34" i="5"/>
  <c r="D35" i="5"/>
  <c r="AQ35" i="5"/>
  <c r="AQ34" i="5"/>
  <c r="M35" i="5"/>
  <c r="M34" i="5"/>
  <c r="AZ35" i="5"/>
  <c r="AZ34" i="5"/>
  <c r="AS35" i="5"/>
  <c r="AS34" i="5"/>
  <c r="AK35" i="5"/>
  <c r="AK34" i="5"/>
  <c r="N34" i="5"/>
  <c r="N35" i="5"/>
  <c r="Q35" i="5"/>
  <c r="Q34" i="5"/>
  <c r="X35" i="5"/>
  <c r="X34" i="5"/>
  <c r="F34" i="5"/>
  <c r="F35" i="5"/>
  <c r="H34" i="5"/>
  <c r="H35" i="5"/>
  <c r="AW35" i="5"/>
  <c r="AW34" i="5"/>
  <c r="Z34" i="5"/>
  <c r="Z35" i="5"/>
  <c r="AR35" i="5"/>
  <c r="AR34" i="5"/>
  <c r="R33" i="5"/>
  <c r="P33" i="5"/>
  <c r="AB33" i="5"/>
  <c r="AA33" i="5"/>
  <c r="AV33" i="5"/>
  <c r="AE33" i="5"/>
  <c r="BD33" i="5"/>
  <c r="AP33" i="5"/>
  <c r="W33" i="5"/>
  <c r="AY33" i="5"/>
  <c r="AL33" i="5"/>
  <c r="AH33" i="5"/>
  <c r="AI33" i="5"/>
  <c r="AD33" i="5"/>
  <c r="AC33" i="5"/>
  <c r="AG33" i="5"/>
  <c r="O33" i="5"/>
  <c r="J33" i="5"/>
  <c r="AO33" i="5"/>
  <c r="AJ33" i="5"/>
  <c r="BA33" i="5"/>
  <c r="T33" i="5"/>
  <c r="U33" i="5"/>
  <c r="BE33" i="5"/>
  <c r="BE34" i="5" s="1"/>
  <c r="BC33" i="5"/>
  <c r="AX33" i="5"/>
  <c r="BB33" i="5"/>
  <c r="Y33" i="5"/>
  <c r="AN33" i="5"/>
  <c r="AM33" i="5"/>
  <c r="AT33" i="5"/>
  <c r="C61" i="5"/>
  <c r="T35" i="5" l="1"/>
  <c r="T34" i="5"/>
  <c r="AE35" i="5"/>
  <c r="AE34" i="5"/>
  <c r="AN35" i="5"/>
  <c r="AN34" i="5"/>
  <c r="BC35" i="5"/>
  <c r="BC34" i="5"/>
  <c r="BA35" i="5"/>
  <c r="BA34" i="5"/>
  <c r="O34" i="5"/>
  <c r="O35" i="5"/>
  <c r="AI35" i="5"/>
  <c r="AI34" i="5"/>
  <c r="W35" i="5"/>
  <c r="W34" i="5"/>
  <c r="AV35" i="5"/>
  <c r="AV34" i="5"/>
  <c r="R34" i="5"/>
  <c r="R35" i="5"/>
  <c r="AM35" i="5"/>
  <c r="AM34" i="5"/>
  <c r="J34" i="5"/>
  <c r="J35" i="5"/>
  <c r="AY35" i="5"/>
  <c r="AY34" i="5"/>
  <c r="Y35" i="5"/>
  <c r="Y34" i="5"/>
  <c r="AJ35" i="5"/>
  <c r="AJ34" i="5"/>
  <c r="AH34" i="5"/>
  <c r="AH35" i="5"/>
  <c r="AA35" i="5"/>
  <c r="AA34" i="5"/>
  <c r="AX34" i="5"/>
  <c r="AX35" i="5"/>
  <c r="AD34" i="5"/>
  <c r="AD35" i="5"/>
  <c r="P35" i="5"/>
  <c r="P34" i="5"/>
  <c r="BE35" i="5"/>
  <c r="AG35" i="5"/>
  <c r="AG34" i="5"/>
  <c r="AP34" i="5"/>
  <c r="AP35" i="5"/>
  <c r="AT34" i="5"/>
  <c r="AT35" i="5"/>
  <c r="BB34" i="5"/>
  <c r="BB35" i="5"/>
  <c r="U35" i="5"/>
  <c r="U34" i="5"/>
  <c r="AO35" i="5"/>
  <c r="AO34" i="5"/>
  <c r="AC35" i="5"/>
  <c r="AC34" i="5"/>
  <c r="AL34" i="5"/>
  <c r="AL35" i="5"/>
  <c r="BD35" i="5"/>
  <c r="BD34" i="5"/>
  <c r="AB35" i="5"/>
  <c r="AB34" i="5"/>
  <c r="C63" i="5"/>
  <c r="C62" i="5"/>
  <c r="C33" i="5" l="1"/>
  <c r="AB25" i="5" l="1"/>
  <c r="C34" i="5"/>
  <c r="AC27" i="5" s="1"/>
  <c r="C35" i="5"/>
  <c r="W25" i="5" l="1"/>
  <c r="AF8" i="2" s="1"/>
  <c r="W29" i="5"/>
  <c r="AF16" i="2" s="1"/>
  <c r="W23" i="5"/>
  <c r="AF4" i="2" s="1"/>
  <c r="W26" i="5"/>
  <c r="AF10" i="2" s="1"/>
  <c r="W30" i="5"/>
  <c r="AF18" i="2" s="1"/>
  <c r="W22" i="5"/>
  <c r="AF2" i="2" s="1"/>
  <c r="W28" i="5"/>
  <c r="AF14" i="2" s="1"/>
  <c r="W31" i="5"/>
  <c r="AF20" i="2" s="1"/>
  <c r="W24" i="5"/>
  <c r="AF6" i="2" s="1"/>
  <c r="W27" i="5"/>
  <c r="AF12" i="2" s="1"/>
  <c r="AD28" i="5"/>
  <c r="AD26" i="5"/>
  <c r="AD27" i="5"/>
  <c r="AC26" i="5"/>
  <c r="AC25" i="5" l="1"/>
  <c r="X25" i="5" l="1"/>
  <c r="AN8" i="2" s="1"/>
  <c r="X30" i="5"/>
  <c r="AN18" i="2" s="1"/>
  <c r="X22" i="5"/>
  <c r="AN2" i="2" s="1"/>
  <c r="X27" i="5"/>
  <c r="AN12" i="2" s="1"/>
  <c r="X24" i="5"/>
  <c r="AN6" i="2" s="1"/>
  <c r="X29" i="5"/>
  <c r="AN16" i="2" s="1"/>
  <c r="X28" i="5"/>
  <c r="AN14" i="2" s="1"/>
  <c r="X26" i="5"/>
  <c r="AN10" i="2" s="1"/>
  <c r="X31" i="5"/>
  <c r="AN20" i="2" s="1"/>
  <c r="X23" i="5"/>
  <c r="AN4" i="2" s="1"/>
  <c r="AD25" i="5"/>
  <c r="Y28" i="5" l="1"/>
  <c r="AV14" i="2" s="1"/>
  <c r="Y24" i="5"/>
  <c r="AV6" i="2" s="1"/>
  <c r="Y31" i="5"/>
  <c r="AV20" i="2" s="1"/>
  <c r="Y23" i="5"/>
  <c r="AV4" i="2" s="1"/>
  <c r="Y30" i="5"/>
  <c r="AV18" i="2" s="1"/>
  <c r="Y27" i="5"/>
  <c r="AV12" i="2" s="1"/>
  <c r="Y26" i="5"/>
  <c r="AV10" i="2" s="1"/>
  <c r="Y22" i="5"/>
  <c r="AV2" i="2" s="1"/>
  <c r="Y29" i="5"/>
  <c r="AV16" i="2" s="1"/>
  <c r="Y25" i="5"/>
  <c r="AV8" i="2" s="1"/>
</calcChain>
</file>

<file path=xl/sharedStrings.xml><?xml version="1.0" encoding="utf-8"?>
<sst xmlns="http://schemas.openxmlformats.org/spreadsheetml/2006/main" count="460" uniqueCount="314">
  <si>
    <t>kg</t>
  </si>
  <si>
    <t>α</t>
  </si>
  <si>
    <t>°</t>
  </si>
  <si>
    <t>V</t>
  </si>
  <si>
    <t>Vac</t>
  </si>
  <si>
    <t>A</t>
  </si>
  <si>
    <t>Arms</t>
  </si>
  <si>
    <t>C</t>
  </si>
  <si>
    <t>Max temp.</t>
  </si>
  <si>
    <t xml:space="preserve">Current </t>
  </si>
  <si>
    <t xml:space="preserve">Voltage </t>
  </si>
  <si>
    <t>Angle</t>
  </si>
  <si>
    <t>Env. temp.</t>
  </si>
  <si>
    <t>mm</t>
  </si>
  <si>
    <t>Φ160</t>
  </si>
  <si>
    <t>125/120</t>
  </si>
  <si>
    <t>105x100</t>
  </si>
  <si>
    <t>Shaft Motor Specifications</t>
    <phoneticPr fontId="1"/>
  </si>
  <si>
    <t>At room temperature(20℃)</t>
    <phoneticPr fontId="1"/>
  </si>
  <si>
    <t>S040T</t>
    <phoneticPr fontId="1"/>
  </si>
  <si>
    <t>S040Q</t>
    <phoneticPr fontId="1"/>
  </si>
  <si>
    <t>S040X</t>
    <phoneticPr fontId="1"/>
  </si>
  <si>
    <t>S080D</t>
    <phoneticPr fontId="1"/>
  </si>
  <si>
    <t>S080T</t>
    <phoneticPr fontId="1"/>
  </si>
  <si>
    <t>S080Q</t>
    <phoneticPr fontId="1"/>
  </si>
  <si>
    <t>S120D</t>
    <phoneticPr fontId="1"/>
  </si>
  <si>
    <t>S120T</t>
    <phoneticPr fontId="1"/>
  </si>
  <si>
    <t>S120Q</t>
    <phoneticPr fontId="1"/>
  </si>
  <si>
    <t>S160D</t>
    <phoneticPr fontId="1"/>
  </si>
  <si>
    <t>S160T</t>
    <phoneticPr fontId="1"/>
  </si>
  <si>
    <t>S160Q</t>
    <phoneticPr fontId="1"/>
  </si>
  <si>
    <t>S200D</t>
    <phoneticPr fontId="1"/>
  </si>
  <si>
    <t>S200T</t>
    <phoneticPr fontId="1"/>
  </si>
  <si>
    <t>S200Q</t>
    <phoneticPr fontId="1"/>
  </si>
  <si>
    <t>S250SS*4</t>
    <phoneticPr fontId="1"/>
  </si>
  <si>
    <t>L250SS*4</t>
    <phoneticPr fontId="1"/>
  </si>
  <si>
    <t>S250D</t>
    <phoneticPr fontId="1"/>
  </si>
  <si>
    <t>S250T</t>
    <phoneticPr fontId="1"/>
  </si>
  <si>
    <t>S250Q</t>
    <phoneticPr fontId="1"/>
  </si>
  <si>
    <t>S250X</t>
    <phoneticPr fontId="1"/>
  </si>
  <si>
    <t>L250D</t>
    <phoneticPr fontId="1"/>
  </si>
  <si>
    <t>L250T</t>
    <phoneticPr fontId="1"/>
  </si>
  <si>
    <t>L250Q</t>
    <phoneticPr fontId="1"/>
  </si>
  <si>
    <t>S320D</t>
    <phoneticPr fontId="1"/>
  </si>
  <si>
    <t>S320T</t>
    <phoneticPr fontId="1"/>
  </si>
  <si>
    <t>S320Q</t>
    <phoneticPr fontId="1"/>
  </si>
  <si>
    <t>S320X</t>
    <phoneticPr fontId="1"/>
  </si>
  <si>
    <t>L320D</t>
    <phoneticPr fontId="1"/>
  </si>
  <si>
    <t>L320T</t>
    <phoneticPr fontId="1"/>
  </si>
  <si>
    <t>L320Q</t>
    <phoneticPr fontId="1"/>
  </si>
  <si>
    <t>L350SS*4</t>
    <phoneticPr fontId="1"/>
  </si>
  <si>
    <t>S350D</t>
    <phoneticPr fontId="1"/>
  </si>
  <si>
    <t>S350T</t>
    <phoneticPr fontId="1"/>
  </si>
  <si>
    <t>S350Q</t>
    <phoneticPr fontId="1"/>
  </si>
  <si>
    <t>S427D</t>
    <phoneticPr fontId="1"/>
  </si>
  <si>
    <t>S427T</t>
    <phoneticPr fontId="1"/>
  </si>
  <si>
    <t>S427Q</t>
    <phoneticPr fontId="1"/>
  </si>
  <si>
    <t>L427D*4</t>
    <phoneticPr fontId="1"/>
  </si>
  <si>
    <t>L427T*4</t>
    <phoneticPr fontId="1"/>
  </si>
  <si>
    <t>L427Q*4</t>
    <phoneticPr fontId="1"/>
  </si>
  <si>
    <t>S435D</t>
    <phoneticPr fontId="1"/>
  </si>
  <si>
    <t>S435T</t>
    <phoneticPr fontId="1"/>
  </si>
  <si>
    <t>S435Q</t>
    <phoneticPr fontId="1"/>
  </si>
  <si>
    <t>S500D</t>
    <phoneticPr fontId="1"/>
  </si>
  <si>
    <t>S500T</t>
    <phoneticPr fontId="1"/>
  </si>
  <si>
    <t>S500Q</t>
    <phoneticPr fontId="1"/>
  </si>
  <si>
    <t>S605D</t>
    <phoneticPr fontId="1"/>
  </si>
  <si>
    <t>S605T</t>
    <phoneticPr fontId="1"/>
  </si>
  <si>
    <t>S605Q</t>
    <phoneticPr fontId="1"/>
  </si>
  <si>
    <t>S1000T*4</t>
    <phoneticPr fontId="1"/>
  </si>
  <si>
    <t>Rated Force(*1)</t>
    <phoneticPr fontId="1"/>
  </si>
  <si>
    <t>N</t>
    <phoneticPr fontId="1"/>
  </si>
  <si>
    <t>Rated Current(*1)</t>
    <phoneticPr fontId="1"/>
  </si>
  <si>
    <t>A</t>
    <phoneticPr fontId="1"/>
  </si>
  <si>
    <t>Accelerate Force</t>
    <phoneticPr fontId="1"/>
  </si>
  <si>
    <t>Accelerate Current</t>
    <phoneticPr fontId="1"/>
  </si>
  <si>
    <t>Force Constant   Kf</t>
    <phoneticPr fontId="1"/>
  </si>
  <si>
    <t>N/A</t>
    <phoneticPr fontId="1"/>
  </si>
  <si>
    <t>Back EMF</t>
    <phoneticPr fontId="1"/>
  </si>
  <si>
    <t>V/m/s</t>
    <phoneticPr fontId="1"/>
  </si>
  <si>
    <t>Resistance (*2)</t>
    <phoneticPr fontId="1"/>
  </si>
  <si>
    <t>Ω</t>
    <phoneticPr fontId="1"/>
  </si>
  <si>
    <t>Inductance (*3)</t>
    <phoneticPr fontId="1"/>
  </si>
  <si>
    <t>mH</t>
    <phoneticPr fontId="1"/>
  </si>
  <si>
    <t>Thermal Resistance</t>
    <phoneticPr fontId="1"/>
  </si>
  <si>
    <t>℃/W</t>
    <phoneticPr fontId="1"/>
  </si>
  <si>
    <t>Moving Coil Length</t>
    <phoneticPr fontId="1"/>
  </si>
  <si>
    <t>mm</t>
    <phoneticPr fontId="1"/>
  </si>
  <si>
    <t>Moving Coil Width</t>
    <phoneticPr fontId="1"/>
  </si>
  <si>
    <t>105x100</t>
    <phoneticPr fontId="1"/>
  </si>
  <si>
    <t>Moving Coil Weight</t>
    <phoneticPr fontId="1"/>
  </si>
  <si>
    <t>kg/F</t>
    <phoneticPr fontId="1"/>
  </si>
  <si>
    <t>Gap</t>
    <phoneticPr fontId="1"/>
  </si>
  <si>
    <t>Diameter</t>
    <phoneticPr fontId="1"/>
  </si>
  <si>
    <t>Pole(N-N) Distance</t>
    <phoneticPr fontId="1"/>
  </si>
  <si>
    <t>Available Stroke</t>
    <phoneticPr fontId="1"/>
  </si>
  <si>
    <t>(*1) In case temperature of coil surface inside mover is  110K. (*2) Mean value of U-V,V-W,W-V (*3) Mean value of U-V,V-W,W-V</t>
    <phoneticPr fontId="1"/>
  </si>
  <si>
    <t>(*4) Special model or trial production, please contact your distributor</t>
    <phoneticPr fontId="1"/>
  </si>
  <si>
    <t>Stroke</t>
  </si>
  <si>
    <t>℃</t>
  </si>
  <si>
    <t>Temperature Rise</t>
  </si>
  <si>
    <t>G</t>
  </si>
  <si>
    <t>sec</t>
  </si>
  <si>
    <t>m/s</t>
  </si>
  <si>
    <t>Move time</t>
  </si>
  <si>
    <t>Max Vel</t>
  </si>
  <si>
    <t>Dist</t>
  </si>
  <si>
    <t>Acc time</t>
  </si>
  <si>
    <t>Trav time</t>
  </si>
  <si>
    <t>Dec time</t>
  </si>
  <si>
    <t>Acc dist</t>
  </si>
  <si>
    <t>Trav dist</t>
  </si>
  <si>
    <t>Dec dist</t>
  </si>
  <si>
    <t>Motor</t>
  </si>
  <si>
    <t>Accel</t>
  </si>
  <si>
    <t>Decel</t>
  </si>
  <si>
    <t>Use</t>
  </si>
  <si>
    <t>m/s2</t>
  </si>
  <si>
    <t>Load Mass</t>
  </si>
  <si>
    <t>Power Duty</t>
  </si>
  <si>
    <t>RMS Force N</t>
  </si>
  <si>
    <t>RMS Current</t>
  </si>
  <si>
    <t>Peak Force</t>
  </si>
  <si>
    <t>Peak Current</t>
  </si>
  <si>
    <t>Coil Temp</t>
  </si>
  <si>
    <t>Pass</t>
  </si>
  <si>
    <t>Yaux</t>
  </si>
  <si>
    <t>Ys</t>
  </si>
  <si>
    <t>Vw</t>
  </si>
  <si>
    <t>To</t>
  </si>
  <si>
    <t>Ts</t>
  </si>
  <si>
    <t>Tod</t>
  </si>
  <si>
    <t>Min V</t>
  </si>
  <si>
    <t>Ave A</t>
  </si>
  <si>
    <t>half1_Y</t>
  </si>
  <si>
    <t>Direction</t>
  </si>
  <si>
    <t>+</t>
  </si>
  <si>
    <t>-</t>
  </si>
  <si>
    <t>S040D</t>
  </si>
  <si>
    <t>Move</t>
  </si>
  <si>
    <t>T</t>
  </si>
  <si>
    <t>Acceleration</t>
  </si>
  <si>
    <t>Deceleration</t>
  </si>
  <si>
    <t>Traverse</t>
  </si>
  <si>
    <t>Distance</t>
  </si>
  <si>
    <t>Friction Coefficient</t>
  </si>
  <si>
    <t>RMS</t>
  </si>
  <si>
    <t>Peak</t>
  </si>
  <si>
    <t>Mass</t>
  </si>
  <si>
    <t>RMS Acc</t>
  </si>
  <si>
    <t>Peak ACC</t>
  </si>
  <si>
    <t>Time Res</t>
  </si>
  <si>
    <t>Min</t>
  </si>
  <si>
    <t>Max</t>
  </si>
  <si>
    <t>Velocity</t>
  </si>
  <si>
    <t>All</t>
  </si>
  <si>
    <t>Max Velocity</t>
  </si>
  <si>
    <t>Max Acceleration</t>
  </si>
  <si>
    <t>Dir</t>
  </si>
  <si>
    <t>Vel</t>
  </si>
  <si>
    <t>Dwell</t>
  </si>
  <si>
    <t>Move Time</t>
  </si>
  <si>
    <t>Max Temp</t>
  </si>
  <si>
    <t>Req Voltage</t>
  </si>
  <si>
    <t>Moving mass</t>
  </si>
  <si>
    <t>Orientation</t>
  </si>
  <si>
    <t>Application details</t>
  </si>
  <si>
    <t>Tests</t>
  </si>
  <si>
    <t>Voltage</t>
  </si>
  <si>
    <t>Rhot</t>
  </si>
  <si>
    <t>S040T</t>
  </si>
  <si>
    <t>S040Q</t>
  </si>
  <si>
    <t>S040X</t>
  </si>
  <si>
    <t>S080D</t>
  </si>
  <si>
    <t>S080T</t>
  </si>
  <si>
    <t>S080Q</t>
  </si>
  <si>
    <t>S120D</t>
  </si>
  <si>
    <t>S120T</t>
  </si>
  <si>
    <t>S120Q</t>
  </si>
  <si>
    <t>S160D</t>
  </si>
  <si>
    <t>S160T</t>
  </si>
  <si>
    <t>S160Q</t>
  </si>
  <si>
    <t>S200D</t>
  </si>
  <si>
    <t>S200T</t>
  </si>
  <si>
    <t>S200Q</t>
  </si>
  <si>
    <t>S250D</t>
  </si>
  <si>
    <t>S250T</t>
  </si>
  <si>
    <t>S250Q</t>
  </si>
  <si>
    <t>S250X</t>
  </si>
  <si>
    <t>L250D</t>
  </si>
  <si>
    <t>L250T</t>
  </si>
  <si>
    <t>L250Q</t>
  </si>
  <si>
    <t>S320D</t>
  </si>
  <si>
    <t>S320T</t>
  </si>
  <si>
    <t>S320Q</t>
  </si>
  <si>
    <t>S320X</t>
  </si>
  <si>
    <t>L320D</t>
  </si>
  <si>
    <t>L320T</t>
  </si>
  <si>
    <t>L320Q</t>
  </si>
  <si>
    <t>S350D</t>
  </si>
  <si>
    <t>S350T</t>
  </si>
  <si>
    <t>S350Q</t>
  </si>
  <si>
    <t>S427D</t>
  </si>
  <si>
    <t>S427T</t>
  </si>
  <si>
    <t>S427Q</t>
  </si>
  <si>
    <t>S435D</t>
  </si>
  <si>
    <t>S435T</t>
  </si>
  <si>
    <t>S435Q</t>
  </si>
  <si>
    <t>S500D</t>
  </si>
  <si>
    <t>S500T</t>
  </si>
  <si>
    <t>S500Q</t>
  </si>
  <si>
    <t>S605D</t>
  </si>
  <si>
    <t>S605T</t>
  </si>
  <si>
    <t>S605Q</t>
  </si>
  <si>
    <t>S250SS</t>
  </si>
  <si>
    <t>L250SS</t>
  </si>
  <si>
    <t>L350SS</t>
  </si>
  <si>
    <t>L427D</t>
  </si>
  <si>
    <t>L427T</t>
  </si>
  <si>
    <t>L427Q</t>
  </si>
  <si>
    <t>S1000T</t>
  </si>
  <si>
    <t>Application</t>
  </si>
  <si>
    <t>Current</t>
  </si>
  <si>
    <t>Drive</t>
  </si>
  <si>
    <t>Profile</t>
  </si>
  <si>
    <t>Temp Env</t>
  </si>
  <si>
    <t>Coil Temp Rise</t>
  </si>
  <si>
    <t>N</t>
  </si>
  <si>
    <t>Velocity Max</t>
  </si>
  <si>
    <t>ATR</t>
  </si>
  <si>
    <t>SSATR</t>
  </si>
  <si>
    <t>ATRAR</t>
  </si>
  <si>
    <t>Force</t>
  </si>
  <si>
    <t>Friction</t>
  </si>
  <si>
    <t>Friction Force</t>
  </si>
  <si>
    <t>Incline Angle</t>
  </si>
  <si>
    <t>µ</t>
  </si>
  <si>
    <t>Thrust Force</t>
  </si>
  <si>
    <t>Pre-load Force</t>
  </si>
  <si>
    <t>RMS Force</t>
  </si>
  <si>
    <t>Dwell Force</t>
  </si>
  <si>
    <t>Dwell Time</t>
  </si>
  <si>
    <t>Total Time</t>
  </si>
  <si>
    <t>%</t>
  </si>
  <si>
    <t xml:space="preserve">Suggested </t>
  </si>
  <si>
    <t>Motors</t>
  </si>
  <si>
    <t>Time Constant</t>
  </si>
  <si>
    <t>Temp</t>
  </si>
  <si>
    <t>Max Drive Current</t>
  </si>
  <si>
    <t>TC1 max vol</t>
  </si>
  <si>
    <t>TC2 max vol</t>
  </si>
  <si>
    <t>TC3 max vol</t>
  </si>
  <si>
    <t>TC4 max vol</t>
  </si>
  <si>
    <t>TC1</t>
  </si>
  <si>
    <t>TC2</t>
  </si>
  <si>
    <t>TC3</t>
  </si>
  <si>
    <t>TC4</t>
  </si>
  <si>
    <t>Time</t>
  </si>
  <si>
    <t>Time Peak Acc</t>
  </si>
  <si>
    <t>Small</t>
  </si>
  <si>
    <t>First</t>
  </si>
  <si>
    <t>Price</t>
  </si>
  <si>
    <t>Cost</t>
  </si>
  <si>
    <t>Cheep</t>
  </si>
  <si>
    <t>Size</t>
  </si>
  <si>
    <r>
      <t>M</t>
    </r>
    <r>
      <rPr>
        <vertAlign val="subscript"/>
        <sz val="8"/>
        <rFont val="Calibri"/>
        <family val="2"/>
        <scheme val="minor"/>
      </rPr>
      <t>S</t>
    </r>
  </si>
  <si>
    <r>
      <rPr>
        <b/>
        <sz val="10"/>
        <color rgb="FFFF0000"/>
        <rFont val="Calibri"/>
        <family val="2"/>
        <scheme val="minor"/>
      </rPr>
      <t>NPM SMART</t>
    </r>
    <r>
      <rPr>
        <sz val="10"/>
        <color theme="1"/>
        <rFont val="Calibri"/>
        <family val="2"/>
        <scheme val="minor"/>
      </rPr>
      <t xml:space="preserve"> light</t>
    </r>
  </si>
  <si>
    <t>Show</t>
  </si>
  <si>
    <t>Stages</t>
  </si>
  <si>
    <t>Filter</t>
  </si>
  <si>
    <t>SLP35</t>
  </si>
  <si>
    <t>SLP25</t>
  </si>
  <si>
    <t>SLP15</t>
  </si>
  <si>
    <t>Allow Temperature</t>
  </si>
  <si>
    <t>Only fields outlined in red</t>
  </si>
  <si>
    <t>Environment</t>
  </si>
  <si>
    <t>(Results)</t>
  </si>
  <si>
    <t>Required Voltage</t>
  </si>
  <si>
    <t xml:space="preserve">Does the Motor pass all the test?  </t>
  </si>
  <si>
    <t>If the Motor passes what is cost facter?</t>
  </si>
  <si>
    <t>If the Motor passes what is the length?</t>
  </si>
  <si>
    <t>Motor Base name</t>
  </si>
  <si>
    <t>Stroke needed for this applacation</t>
  </si>
  <si>
    <t>Run Friction   ( Fr)</t>
  </si>
  <si>
    <t>V1.1</t>
  </si>
  <si>
    <r>
      <t>A</t>
    </r>
    <r>
      <rPr>
        <vertAlign val="subscript"/>
        <sz val="9"/>
        <rFont val="Calibri"/>
        <family val="2"/>
        <scheme val="minor"/>
      </rPr>
      <t>peak</t>
    </r>
    <r>
      <rPr>
        <sz val="9"/>
        <rFont val="Calibri"/>
        <family val="2"/>
        <scheme val="minor"/>
      </rPr>
      <t>=F</t>
    </r>
    <r>
      <rPr>
        <vertAlign val="subscript"/>
        <sz val="9"/>
        <rFont val="Calibri"/>
        <family val="2"/>
        <scheme val="minor"/>
      </rPr>
      <t>peak</t>
    </r>
    <r>
      <rPr>
        <sz val="9"/>
        <rFont val="Calibri"/>
        <family val="2"/>
        <scheme val="minor"/>
      </rPr>
      <t>*K</t>
    </r>
    <r>
      <rPr>
        <vertAlign val="subscript"/>
        <sz val="9"/>
        <rFont val="Calibri"/>
        <family val="2"/>
        <scheme val="minor"/>
      </rPr>
      <t>f</t>
    </r>
    <r>
      <rPr>
        <sz val="9"/>
        <rFont val="Calibri"/>
        <family val="2"/>
        <scheme val="minor"/>
      </rPr>
      <t xml:space="preserve"> +</t>
    </r>
    <r>
      <rPr>
        <sz val="9"/>
        <color rgb="FF00B050"/>
        <rFont val="Calibri"/>
        <family val="2"/>
        <scheme val="minor"/>
      </rPr>
      <t xml:space="preserve"> 20% safety</t>
    </r>
  </si>
  <si>
    <r>
      <t>Duty=(A</t>
    </r>
    <r>
      <rPr>
        <vertAlign val="subscript"/>
        <sz val="9"/>
        <rFont val="Calibri"/>
        <family val="2"/>
        <scheme val="minor"/>
      </rPr>
      <t>rms</t>
    </r>
    <r>
      <rPr>
        <sz val="9"/>
        <rFont val="Calibri"/>
        <family val="2"/>
        <scheme val="minor"/>
      </rPr>
      <t>/A</t>
    </r>
    <r>
      <rPr>
        <vertAlign val="subscript"/>
        <sz val="9"/>
        <rFont val="Calibri"/>
        <family val="2"/>
        <scheme val="minor"/>
      </rPr>
      <t>cont</t>
    </r>
    <r>
      <rPr>
        <sz val="9"/>
        <rFont val="Calibri"/>
        <family val="2"/>
        <scheme val="minor"/>
      </rPr>
      <t>)</t>
    </r>
    <r>
      <rPr>
        <vertAlign val="superscript"/>
        <sz val="9"/>
        <rFont val="Calibri"/>
        <family val="2"/>
        <scheme val="minor"/>
      </rPr>
      <t>2</t>
    </r>
  </si>
  <si>
    <r>
      <t>Temp rise = (A</t>
    </r>
    <r>
      <rPr>
        <vertAlign val="subscript"/>
        <sz val="9"/>
        <rFont val="Calibri"/>
        <family val="2"/>
        <scheme val="minor"/>
      </rPr>
      <t>rms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* R</t>
    </r>
    <r>
      <rPr>
        <vertAlign val="subscript"/>
        <sz val="9"/>
        <rFont val="Calibri"/>
        <family val="2"/>
        <scheme val="minor"/>
      </rPr>
      <t>20</t>
    </r>
    <r>
      <rPr>
        <sz val="9"/>
        <rFont val="Calibri"/>
        <family val="2"/>
        <scheme val="minor"/>
      </rPr>
      <t xml:space="preserve"> ) * Thermal Resistance</t>
    </r>
  </si>
  <si>
    <r>
      <t xml:space="preserve">Vr=SQRT((( </t>
    </r>
    <r>
      <rPr>
        <sz val="9"/>
        <color rgb="FFFF0000"/>
        <rFont val="Calibri"/>
        <family val="2"/>
        <scheme val="minor"/>
      </rPr>
      <t>V</t>
    </r>
    <r>
      <rPr>
        <vertAlign val="subscript"/>
        <sz val="9"/>
        <color rgb="FFFF0000"/>
        <rFont val="Calibri"/>
        <family val="2"/>
        <scheme val="minor"/>
      </rPr>
      <t>bemf</t>
    </r>
    <r>
      <rPr>
        <sz val="9"/>
        <rFont val="Calibri"/>
        <family val="2"/>
        <scheme val="minor"/>
      </rPr>
      <t xml:space="preserve"> (Bemf * V</t>
    </r>
    <r>
      <rPr>
        <vertAlign val="subscript"/>
        <sz val="9"/>
        <rFont val="Calibri"/>
        <family val="2"/>
        <scheme val="minor"/>
      </rPr>
      <t>max</t>
    </r>
    <r>
      <rPr>
        <sz val="9"/>
        <rFont val="Calibri"/>
        <family val="2"/>
        <scheme val="minor"/>
      </rPr>
      <t xml:space="preserve">)+ </t>
    </r>
    <r>
      <rPr>
        <sz val="9"/>
        <color rgb="FFFF0000"/>
        <rFont val="Calibri"/>
        <family val="2"/>
        <scheme val="minor"/>
      </rPr>
      <t>V</t>
    </r>
    <r>
      <rPr>
        <vertAlign val="subscript"/>
        <sz val="9"/>
        <color rgb="FFFF0000"/>
        <rFont val="Calibri"/>
        <family val="2"/>
        <scheme val="minor"/>
      </rPr>
      <t>ir</t>
    </r>
    <r>
      <rPr>
        <sz val="9"/>
        <rFont val="Calibri"/>
        <family val="2"/>
        <scheme val="minor"/>
      </rPr>
      <t xml:space="preserve"> (A</t>
    </r>
    <r>
      <rPr>
        <vertAlign val="subscript"/>
        <sz val="9"/>
        <rFont val="Calibri"/>
        <family val="2"/>
        <scheme val="minor"/>
      </rPr>
      <t>peak</t>
    </r>
    <r>
      <rPr>
        <sz val="9"/>
        <rFont val="Calibri"/>
        <family val="2"/>
        <scheme val="minor"/>
      </rPr>
      <t>*R</t>
    </r>
    <r>
      <rPr>
        <vertAlign val="subscript"/>
        <sz val="9"/>
        <rFont val="Calibri"/>
        <family val="2"/>
        <scheme val="minor"/>
      </rPr>
      <t>hot</t>
    </r>
    <r>
      <rPr>
        <sz val="9"/>
        <rFont val="Calibri"/>
        <family val="2"/>
        <scheme val="minor"/>
      </rPr>
      <t>))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)+( </t>
    </r>
    <r>
      <rPr>
        <sz val="9"/>
        <color rgb="FFFF0000"/>
        <rFont val="Calibri"/>
        <family val="2"/>
        <scheme val="minor"/>
      </rPr>
      <t>V</t>
    </r>
    <r>
      <rPr>
        <vertAlign val="subscript"/>
        <sz val="9"/>
        <color rgb="FFFF0000"/>
        <rFont val="Calibri"/>
        <family val="2"/>
        <scheme val="minor"/>
      </rPr>
      <t>ind</t>
    </r>
    <r>
      <rPr>
        <sz val="9"/>
        <rFont val="Calibri"/>
        <family val="2"/>
        <scheme val="minor"/>
      </rPr>
      <t xml:space="preserve"> (( 7.695 * V</t>
    </r>
    <r>
      <rPr>
        <vertAlign val="subscript"/>
        <sz val="9"/>
        <rFont val="Calibri"/>
        <family val="2"/>
        <scheme val="minor"/>
      </rPr>
      <t>max</t>
    </r>
    <r>
      <rPr>
        <sz val="9"/>
        <rFont val="Calibri"/>
        <family val="2"/>
        <scheme val="minor"/>
      </rPr>
      <t xml:space="preserve"> * ind * A</t>
    </r>
    <r>
      <rPr>
        <vertAlign val="subscript"/>
        <sz val="9"/>
        <rFont val="Calibri"/>
        <family val="2"/>
        <scheme val="minor"/>
      </rPr>
      <t>peak</t>
    </r>
    <r>
      <rPr>
        <sz val="9"/>
        <rFont val="Calibri"/>
        <family val="2"/>
        <scheme val="minor"/>
      </rPr>
      <t xml:space="preserve"> )/n-n pitch )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)) + </t>
    </r>
    <r>
      <rPr>
        <sz val="9"/>
        <color rgb="FF00B050"/>
        <rFont val="Calibri"/>
        <family val="2"/>
        <scheme val="minor"/>
      </rPr>
      <t>15% safety</t>
    </r>
  </si>
  <si>
    <r>
      <t>A</t>
    </r>
    <r>
      <rPr>
        <vertAlign val="subscript"/>
        <sz val="9"/>
        <rFont val="Calibri"/>
        <family val="2"/>
        <scheme val="minor"/>
      </rPr>
      <t>rms</t>
    </r>
    <r>
      <rPr>
        <sz val="9"/>
        <rFont val="Calibri"/>
        <family val="2"/>
        <scheme val="minor"/>
      </rPr>
      <t>=F</t>
    </r>
    <r>
      <rPr>
        <vertAlign val="subscript"/>
        <sz val="9"/>
        <rFont val="Calibri"/>
        <family val="2"/>
        <scheme val="minor"/>
      </rPr>
      <t>rms</t>
    </r>
    <r>
      <rPr>
        <sz val="9"/>
        <rFont val="Calibri"/>
        <family val="2"/>
        <scheme val="minor"/>
      </rPr>
      <t>*K</t>
    </r>
    <r>
      <rPr>
        <vertAlign val="subscript"/>
        <sz val="9"/>
        <rFont val="Calibri"/>
        <family val="2"/>
        <scheme val="minor"/>
      </rPr>
      <t>f</t>
    </r>
    <r>
      <rPr>
        <sz val="9"/>
        <rFont val="Calibri"/>
        <family val="2"/>
        <scheme val="minor"/>
      </rPr>
      <t xml:space="preserve"> + </t>
    </r>
    <r>
      <rPr>
        <sz val="9"/>
        <color rgb="FF00B050"/>
        <rFont val="Calibri"/>
        <family val="2"/>
        <scheme val="minor"/>
      </rPr>
      <t>20% safety</t>
    </r>
  </si>
  <si>
    <r>
      <t>F</t>
    </r>
    <r>
      <rPr>
        <vertAlign val="subscript"/>
        <sz val="9"/>
        <rFont val="Calibri"/>
        <family val="2"/>
        <scheme val="minor"/>
      </rPr>
      <t>peak</t>
    </r>
    <r>
      <rPr>
        <sz val="9"/>
        <rFont val="Calibri"/>
        <family val="2"/>
        <scheme val="minor"/>
      </rPr>
      <t>=(Peak*Mass)+F</t>
    </r>
    <r>
      <rPr>
        <vertAlign val="subscript"/>
        <sz val="9"/>
        <rFont val="Calibri"/>
        <family val="2"/>
        <scheme val="minor"/>
      </rPr>
      <t>f</t>
    </r>
    <r>
      <rPr>
        <sz val="9"/>
        <rFont val="Calibri"/>
        <family val="2"/>
        <scheme val="minor"/>
      </rPr>
      <t>+Thrust Force</t>
    </r>
  </si>
  <si>
    <r>
      <t>F</t>
    </r>
    <r>
      <rPr>
        <vertAlign val="subscript"/>
        <sz val="9"/>
        <rFont val="Calibri"/>
        <family val="2"/>
        <scheme val="minor"/>
      </rPr>
      <t>rms</t>
    </r>
    <r>
      <rPr>
        <sz val="9"/>
        <rFont val="Calibri"/>
        <family val="2"/>
        <scheme val="minor"/>
      </rPr>
      <t xml:space="preserve"> = SQRT ((</t>
    </r>
    <r>
      <rPr>
        <sz val="9"/>
        <color rgb="FFFF0000"/>
        <rFont val="Calibri"/>
        <family val="2"/>
        <scheme val="minor"/>
      </rPr>
      <t xml:space="preserve"> F</t>
    </r>
    <r>
      <rPr>
        <vertAlign val="subscript"/>
        <sz val="9"/>
        <color rgb="FFFF0000"/>
        <rFont val="Calibri"/>
        <family val="2"/>
        <scheme val="minor"/>
      </rPr>
      <t>acc</t>
    </r>
    <r>
      <rPr>
        <sz val="9"/>
        <rFont val="Calibri"/>
        <family val="2"/>
        <scheme val="minor"/>
      </rPr>
      <t xml:space="preserve"> ( Mass * Acce l) + </t>
    </r>
    <r>
      <rPr>
        <sz val="9"/>
        <color rgb="FFFF0000"/>
        <rFont val="Calibri"/>
        <family val="2"/>
        <scheme val="minor"/>
      </rPr>
      <t>F</t>
    </r>
    <r>
      <rPr>
        <vertAlign val="subscript"/>
        <sz val="9"/>
        <color rgb="FFFF0000"/>
        <rFont val="Calibri"/>
        <family val="2"/>
        <scheme val="minor"/>
      </rPr>
      <t>f</t>
    </r>
    <r>
      <rPr>
        <sz val="9"/>
        <rFont val="Calibri"/>
        <family val="2"/>
        <scheme val="minor"/>
      </rPr>
      <t xml:space="preserve">  ( F</t>
    </r>
    <r>
      <rPr>
        <vertAlign val="subscript"/>
        <sz val="9"/>
        <rFont val="Calibri"/>
        <family val="2"/>
        <scheme val="minor"/>
      </rPr>
      <t>f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* Move Time )+ </t>
    </r>
    <r>
      <rPr>
        <sz val="9"/>
        <color rgb="FFFF0000"/>
        <rFont val="Calibri"/>
        <family val="2"/>
        <scheme val="minor"/>
      </rPr>
      <t>F</t>
    </r>
    <r>
      <rPr>
        <vertAlign val="subscript"/>
        <sz val="9"/>
        <color rgb="FFFF0000"/>
        <rFont val="Calibri"/>
        <family val="2"/>
        <scheme val="minor"/>
      </rPr>
      <t>d</t>
    </r>
    <r>
      <rPr>
        <sz val="9"/>
        <rFont val="Calibri"/>
        <family val="2"/>
        <scheme val="minor"/>
      </rPr>
      <t xml:space="preserve"> (F</t>
    </r>
    <r>
      <rPr>
        <vertAlign val="subscript"/>
        <sz val="9"/>
        <rFont val="Calibri"/>
        <family val="2"/>
        <scheme val="minor"/>
      </rPr>
      <t>d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* Dwell Time )) / Total Time )</t>
    </r>
  </si>
  <si>
    <r>
      <t>F</t>
    </r>
    <r>
      <rPr>
        <vertAlign val="subscript"/>
        <sz val="9"/>
        <rFont val="Calibri"/>
        <family val="2"/>
        <scheme val="minor"/>
      </rPr>
      <t>d</t>
    </r>
    <r>
      <rPr>
        <sz val="9"/>
        <rFont val="Calibri"/>
        <family val="2"/>
        <scheme val="minor"/>
      </rPr>
      <t xml:space="preserve"> = (M</t>
    </r>
    <r>
      <rPr>
        <vertAlign val="subscript"/>
        <sz val="9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 + M</t>
    </r>
    <r>
      <rPr>
        <vertAlign val="subscript"/>
        <sz val="9"/>
        <rFont val="Calibri"/>
        <family val="2"/>
        <scheme val="minor"/>
      </rPr>
      <t>L</t>
    </r>
    <r>
      <rPr>
        <sz val="9"/>
        <rFont val="Calibri"/>
        <family val="2"/>
        <scheme val="minor"/>
      </rPr>
      <t>) * g * [sin(α)]</t>
    </r>
  </si>
  <si>
    <r>
      <t>F</t>
    </r>
    <r>
      <rPr>
        <vertAlign val="subscript"/>
        <sz val="9"/>
        <rFont val="Calibri"/>
        <family val="2"/>
        <scheme val="minor"/>
      </rPr>
      <t>f</t>
    </r>
    <r>
      <rPr>
        <sz val="9"/>
        <rFont val="Calibri"/>
        <family val="2"/>
        <scheme val="minor"/>
      </rPr>
      <t xml:space="preserve"> =  (M</t>
    </r>
    <r>
      <rPr>
        <vertAlign val="subscript"/>
        <sz val="9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 + M</t>
    </r>
    <r>
      <rPr>
        <vertAlign val="subscript"/>
        <sz val="9"/>
        <rFont val="Calibri"/>
        <family val="2"/>
        <scheme val="minor"/>
      </rPr>
      <t>L</t>
    </r>
    <r>
      <rPr>
        <sz val="9"/>
        <rFont val="Calibri"/>
        <family val="2"/>
        <scheme val="minor"/>
      </rPr>
      <t>) * g * [ µ * cos(α) + sin(α)] + F</t>
    </r>
    <r>
      <rPr>
        <vertAlign val="subscript"/>
        <sz val="9"/>
        <rFont val="Calibri"/>
        <family val="2"/>
        <scheme val="minor"/>
      </rPr>
      <t>r</t>
    </r>
  </si>
  <si>
    <r>
      <t>What is the total moving mass?  (Load +motor mass) (M</t>
    </r>
    <r>
      <rPr>
        <vertAlign val="subscript"/>
        <sz val="9"/>
        <rFont val="Calibri"/>
        <family val="2"/>
        <scheme val="minor"/>
      </rPr>
      <t>c</t>
    </r>
    <r>
      <rPr>
        <sz val="9"/>
        <rFont val="Calibri"/>
        <family val="2"/>
        <scheme val="minor"/>
      </rPr>
      <t xml:space="preserve"> + M</t>
    </r>
    <r>
      <rPr>
        <vertAlign val="subscript"/>
        <sz val="9"/>
        <rFont val="Calibri"/>
        <family val="2"/>
        <scheme val="minor"/>
      </rPr>
      <t>L</t>
    </r>
    <r>
      <rPr>
        <sz val="9"/>
        <rFont val="Calibri"/>
        <family val="2"/>
        <scheme val="minor"/>
      </rPr>
      <t>)</t>
    </r>
  </si>
  <si>
    <r>
      <t>R</t>
    </r>
    <r>
      <rPr>
        <vertAlign val="subscript"/>
        <sz val="9"/>
        <rFont val="Calibri"/>
        <family val="2"/>
        <scheme val="minor"/>
      </rPr>
      <t>hot</t>
    </r>
    <r>
      <rPr>
        <sz val="9"/>
        <rFont val="Calibri"/>
        <family val="2"/>
        <scheme val="minor"/>
      </rPr>
      <t>=((Temp rise + (Ambent-20) )*0.00393+1)*R</t>
    </r>
    <r>
      <rPr>
        <vertAlign val="subscript"/>
        <sz val="9"/>
        <rFont val="Calibri"/>
        <family val="2"/>
        <scheme val="minor"/>
      </rPr>
      <t>20</t>
    </r>
  </si>
  <si>
    <t>Max Drive Current = Largest (Available Current) or V/R</t>
  </si>
  <si>
    <t>ATR = if stroke &lt; forcer stroke then SSATR else ATR</t>
  </si>
  <si>
    <t>Electrical Time Constant   =  ind/res</t>
  </si>
  <si>
    <t>Max Vol posable in 1 Electrical Time Constant</t>
  </si>
  <si>
    <t>Max Vol posable in 2 Electrical Time Constant</t>
  </si>
  <si>
    <t>Max Vol posable in 3 Electrical Time Constant</t>
  </si>
  <si>
    <t>Max Vol posable in 4 Electrical Time Constant</t>
  </si>
  <si>
    <t>Is the motor duty &lt;=100%</t>
  </si>
  <si>
    <t>Is the Motor Duty &lt;= 100%?</t>
  </si>
  <si>
    <t>Is the Coil Temp Rise &lt;= ATR?</t>
  </si>
  <si>
    <t>Is requested Vol &lt;= Max Vol at 1 Electrical Time Constant?</t>
  </si>
  <si>
    <t>Is requested Vol &lt;= Max Vol at 2 Electrical Time Constant?</t>
  </si>
  <si>
    <t>Is requested Vol &lt;= Max Vol at 3 Electrical Time Constant?</t>
  </si>
  <si>
    <t>Is requested Vol &lt;= Max Vol at 4 Electrical Time Constant?</t>
  </si>
  <si>
    <t>Is the required stroke available for this motor?</t>
  </si>
  <si>
    <t>Is the required voltage &lt;= available voltage?</t>
  </si>
  <si>
    <t>Is the required current &lt;= available current?</t>
  </si>
  <si>
    <t>Has this motor or stage to be shown?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</si>
</sst>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TRUE&quot;;&quot;TRUE&quot;;&quot;FALSE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Calibri"/>
      <family val="2"/>
    </font>
    <font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vertAlign val="subscript"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vertAlign val="subscript"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bscript"/>
      <sz val="9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auto="1"/>
      </patternFill>
    </fill>
    <fill>
      <patternFill patternType="solid">
        <fgColor indexed="65"/>
        <bgColor auto="1"/>
      </patternFill>
    </fill>
    <fill>
      <patternFill patternType="solid">
        <fgColor theme="2" tint="-9.9978637043366805E-2"/>
        <bgColor auto="1"/>
      </patternFill>
    </fill>
    <fill>
      <patternFill patternType="solid">
        <fgColor theme="3" tint="0.79998168889431442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rgb="FFFFFF00"/>
        <bgColor auto="1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15" borderId="61" applyNumberFormat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2" fillId="0" borderId="0"/>
    <xf numFmtId="0" fontId="7" fillId="0" borderId="0"/>
    <xf numFmtId="9" fontId="2" fillId="0" borderId="0" applyFill="0" applyBorder="0" applyAlignment="0" applyProtection="0"/>
    <xf numFmtId="9" fontId="8" fillId="0" borderId="0" applyFont="0" applyFill="0" applyBorder="0" applyAlignment="0" applyProtection="0"/>
  </cellStyleXfs>
  <cellXfs count="434">
    <xf numFmtId="0" fontId="0" fillId="0" borderId="0" xfId="0"/>
    <xf numFmtId="0" fontId="13" fillId="0" borderId="0" xfId="0" applyNumberFormat="1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5" fillId="16" borderId="0" xfId="0" applyFont="1" applyFill="1" applyBorder="1" applyAlignment="1" applyProtection="1">
      <alignment vertical="center"/>
      <protection hidden="1"/>
    </xf>
    <xf numFmtId="0" fontId="9" fillId="16" borderId="0" xfId="0" applyFont="1" applyFill="1" applyBorder="1" applyAlignment="1" applyProtection="1">
      <alignment vertical="center"/>
      <protection hidden="1"/>
    </xf>
    <xf numFmtId="0" fontId="5" fillId="16" borderId="0" xfId="0" applyFont="1" applyFill="1" applyAlignment="1" applyProtection="1">
      <alignment vertical="center"/>
      <protection hidden="1"/>
    </xf>
    <xf numFmtId="0" fontId="4" fillId="16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9" fontId="9" fillId="0" borderId="0" xfId="1" applyFont="1" applyFill="1" applyBorder="1" applyProtection="1"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protection hidden="1"/>
    </xf>
    <xf numFmtId="0" fontId="10" fillId="0" borderId="0" xfId="0" applyFont="1" applyFill="1" applyBorder="1" applyProtection="1">
      <protection hidden="1"/>
    </xf>
    <xf numFmtId="49" fontId="10" fillId="0" borderId="0" xfId="0" applyNumberFormat="1" applyFont="1" applyBorder="1" applyProtection="1">
      <protection hidden="1"/>
    </xf>
    <xf numFmtId="0" fontId="10" fillId="0" borderId="0" xfId="0" applyFont="1" applyBorder="1" applyAlignment="1" applyProtection="1">
      <protection hidden="1"/>
    </xf>
    <xf numFmtId="0" fontId="10" fillId="3" borderId="8" xfId="0" applyFont="1" applyFill="1" applyBorder="1" applyAlignment="1" applyProtection="1">
      <alignment horizontal="center"/>
      <protection hidden="1"/>
    </xf>
    <xf numFmtId="0" fontId="10" fillId="3" borderId="9" xfId="0" applyFont="1" applyFill="1" applyBorder="1" applyAlignment="1" applyProtection="1">
      <alignment horizontal="center"/>
      <protection hidden="1"/>
    </xf>
    <xf numFmtId="0" fontId="10" fillId="0" borderId="10" xfId="0" applyFont="1" applyFill="1" applyBorder="1" applyAlignment="1" applyProtection="1">
      <alignment horizontal="center" shrinkToFit="1"/>
      <protection hidden="1"/>
    </xf>
    <xf numFmtId="0" fontId="10" fillId="0" borderId="11" xfId="0" applyFont="1" applyFill="1" applyBorder="1" applyAlignment="1" applyProtection="1">
      <alignment horizontal="center" shrinkToFit="1"/>
      <protection hidden="1"/>
    </xf>
    <xf numFmtId="0" fontId="10" fillId="0" borderId="9" xfId="0" applyFont="1" applyFill="1" applyBorder="1" applyAlignment="1" applyProtection="1">
      <alignment horizontal="center" shrinkToFit="1"/>
      <protection hidden="1"/>
    </xf>
    <xf numFmtId="0" fontId="10" fillId="0" borderId="8" xfId="0" applyFont="1" applyFill="1" applyBorder="1" applyAlignment="1" applyProtection="1">
      <alignment horizontal="center" shrinkToFit="1"/>
      <protection hidden="1"/>
    </xf>
    <xf numFmtId="0" fontId="10" fillId="0" borderId="4" xfId="0" applyFont="1" applyFill="1" applyBorder="1" applyAlignment="1" applyProtection="1">
      <alignment horizontal="center" shrinkToFit="1"/>
      <protection hidden="1"/>
    </xf>
    <xf numFmtId="0" fontId="10" fillId="0" borderId="13" xfId="0" applyFont="1" applyFill="1" applyBorder="1" applyProtection="1">
      <protection hidden="1"/>
    </xf>
    <xf numFmtId="0" fontId="10" fillId="0" borderId="14" xfId="0" applyFont="1" applyFill="1" applyBorder="1" applyProtection="1">
      <protection hidden="1"/>
    </xf>
    <xf numFmtId="0" fontId="10" fillId="0" borderId="15" xfId="0" applyFont="1" applyFill="1" applyBorder="1" applyProtection="1">
      <protection hidden="1"/>
    </xf>
    <xf numFmtId="0" fontId="10" fillId="0" borderId="16" xfId="0" applyFont="1" applyFill="1" applyBorder="1" applyProtection="1">
      <protection hidden="1"/>
    </xf>
    <xf numFmtId="0" fontId="10" fillId="0" borderId="17" xfId="0" applyFont="1" applyFill="1" applyBorder="1" applyProtection="1">
      <protection hidden="1"/>
    </xf>
    <xf numFmtId="0" fontId="10" fillId="0" borderId="18" xfId="0" applyFont="1" applyFill="1" applyBorder="1" applyProtection="1">
      <protection hidden="1"/>
    </xf>
    <xf numFmtId="0" fontId="10" fillId="4" borderId="19" xfId="0" applyFont="1" applyFill="1" applyBorder="1" applyProtection="1">
      <protection hidden="1"/>
    </xf>
    <xf numFmtId="0" fontId="10" fillId="4" borderId="16" xfId="0" applyFont="1" applyFill="1" applyBorder="1" applyProtection="1">
      <protection hidden="1"/>
    </xf>
    <xf numFmtId="0" fontId="10" fillId="4" borderId="17" xfId="0" applyFont="1" applyFill="1" applyBorder="1" applyProtection="1">
      <protection hidden="1"/>
    </xf>
    <xf numFmtId="0" fontId="10" fillId="4" borderId="15" xfId="0" applyFont="1" applyFill="1" applyBorder="1" applyProtection="1">
      <protection hidden="1"/>
    </xf>
    <xf numFmtId="0" fontId="10" fillId="4" borderId="18" xfId="0" applyFont="1" applyFill="1" applyBorder="1" applyProtection="1">
      <protection hidden="1"/>
    </xf>
    <xf numFmtId="0" fontId="10" fillId="5" borderId="20" xfId="0" applyFont="1" applyFill="1" applyBorder="1" applyAlignment="1" applyProtection="1">
      <alignment horizontal="right" vertical="center"/>
      <protection hidden="1"/>
    </xf>
    <xf numFmtId="0" fontId="10" fillId="0" borderId="19" xfId="0" applyFont="1" applyFill="1" applyBorder="1" applyProtection="1">
      <protection hidden="1"/>
    </xf>
    <xf numFmtId="1" fontId="10" fillId="6" borderId="21" xfId="0" applyNumberFormat="1" applyFont="1" applyFill="1" applyBorder="1" applyAlignment="1" applyProtection="1">
      <alignment horizontal="right"/>
      <protection hidden="1"/>
    </xf>
    <xf numFmtId="1" fontId="10" fillId="6" borderId="22" xfId="0" applyNumberFormat="1" applyFont="1" applyFill="1" applyBorder="1" applyAlignment="1" applyProtection="1">
      <alignment horizontal="right"/>
      <protection hidden="1"/>
    </xf>
    <xf numFmtId="0" fontId="10" fillId="5" borderId="23" xfId="0" applyFont="1" applyFill="1" applyBorder="1" applyAlignment="1" applyProtection="1">
      <alignment horizontal="right" vertical="center"/>
      <protection hidden="1"/>
    </xf>
    <xf numFmtId="1" fontId="10" fillId="6" borderId="24" xfId="0" applyNumberFormat="1" applyFont="1" applyFill="1" applyBorder="1" applyAlignment="1" applyProtection="1">
      <alignment horizontal="right"/>
      <protection hidden="1"/>
    </xf>
    <xf numFmtId="1" fontId="10" fillId="4" borderId="21" xfId="0" applyNumberFormat="1" applyFont="1" applyFill="1" applyBorder="1" applyAlignment="1" applyProtection="1">
      <alignment horizontal="right"/>
      <protection hidden="1"/>
    </xf>
    <xf numFmtId="1" fontId="10" fillId="4" borderId="24" xfId="0" applyNumberFormat="1" applyFont="1" applyFill="1" applyBorder="1" applyAlignment="1" applyProtection="1">
      <alignment horizontal="right"/>
      <protection hidden="1"/>
    </xf>
    <xf numFmtId="1" fontId="10" fillId="4" borderId="22" xfId="0" applyNumberFormat="1" applyFont="1" applyFill="1" applyBorder="1" applyAlignment="1" applyProtection="1">
      <alignment horizontal="right"/>
      <protection hidden="1"/>
    </xf>
    <xf numFmtId="1" fontId="10" fillId="6" borderId="25" xfId="0" applyNumberFormat="1" applyFont="1" applyFill="1" applyBorder="1" applyAlignment="1" applyProtection="1">
      <alignment horizontal="right"/>
      <protection hidden="1"/>
    </xf>
    <xf numFmtId="0" fontId="10" fillId="0" borderId="23" xfId="0" applyFont="1" applyFill="1" applyBorder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10" fillId="3" borderId="26" xfId="0" applyFont="1" applyFill="1" applyBorder="1" applyProtection="1">
      <protection hidden="1"/>
    </xf>
    <xf numFmtId="0" fontId="10" fillId="3" borderId="27" xfId="0" applyFont="1" applyFill="1" applyBorder="1" applyProtection="1">
      <protection hidden="1"/>
    </xf>
    <xf numFmtId="0" fontId="10" fillId="3" borderId="28" xfId="0" applyFont="1" applyFill="1" applyBorder="1" applyProtection="1">
      <protection hidden="1"/>
    </xf>
    <xf numFmtId="0" fontId="10" fillId="3" borderId="29" xfId="0" applyFont="1" applyFill="1" applyBorder="1" applyProtection="1">
      <protection hidden="1"/>
    </xf>
    <xf numFmtId="0" fontId="10" fillId="3" borderId="30" xfId="0" applyFont="1" applyFill="1" applyBorder="1" applyProtection="1">
      <protection hidden="1"/>
    </xf>
    <xf numFmtId="0" fontId="10" fillId="3" borderId="31" xfId="0" applyFont="1" applyFill="1" applyBorder="1" applyProtection="1">
      <protection hidden="1"/>
    </xf>
    <xf numFmtId="0" fontId="10" fillId="2" borderId="32" xfId="0" applyFont="1" applyFill="1" applyBorder="1" applyProtection="1">
      <protection hidden="1"/>
    </xf>
    <xf numFmtId="0" fontId="10" fillId="2" borderId="29" xfId="0" applyFont="1" applyFill="1" applyBorder="1" applyProtection="1">
      <protection hidden="1"/>
    </xf>
    <xf numFmtId="0" fontId="10" fillId="2" borderId="30" xfId="0" applyFont="1" applyFill="1" applyBorder="1" applyProtection="1">
      <protection hidden="1"/>
    </xf>
    <xf numFmtId="0" fontId="10" fillId="2" borderId="28" xfId="0" applyFont="1" applyFill="1" applyBorder="1" applyProtection="1">
      <protection hidden="1"/>
    </xf>
    <xf numFmtId="0" fontId="10" fillId="2" borderId="31" xfId="0" applyFont="1" applyFill="1" applyBorder="1" applyProtection="1">
      <protection hidden="1"/>
    </xf>
    <xf numFmtId="0" fontId="10" fillId="3" borderId="33" xfId="0" applyFont="1" applyFill="1" applyBorder="1" applyAlignment="1" applyProtection="1">
      <alignment horizontal="right" vertical="center"/>
      <protection hidden="1"/>
    </xf>
    <xf numFmtId="0" fontId="10" fillId="3" borderId="32" xfId="0" applyFont="1" applyFill="1" applyBorder="1" applyProtection="1">
      <protection hidden="1"/>
    </xf>
    <xf numFmtId="0" fontId="10" fillId="3" borderId="32" xfId="0" applyFont="1" applyFill="1" applyBorder="1" applyAlignment="1" applyProtection="1">
      <alignment horizontal="right"/>
      <protection hidden="1"/>
    </xf>
    <xf numFmtId="0" fontId="10" fillId="3" borderId="30" xfId="0" applyFont="1" applyFill="1" applyBorder="1" applyAlignment="1" applyProtection="1">
      <alignment horizontal="right"/>
      <protection hidden="1"/>
    </xf>
    <xf numFmtId="0" fontId="10" fillId="3" borderId="34" xfId="0" applyFont="1" applyFill="1" applyBorder="1" applyAlignment="1" applyProtection="1">
      <alignment horizontal="right" vertical="center"/>
      <protection hidden="1"/>
    </xf>
    <xf numFmtId="0" fontId="10" fillId="3" borderId="29" xfId="0" applyFont="1" applyFill="1" applyBorder="1" applyAlignment="1" applyProtection="1">
      <alignment horizontal="right"/>
      <protection hidden="1"/>
    </xf>
    <xf numFmtId="0" fontId="10" fillId="2" borderId="32" xfId="0" applyFont="1" applyFill="1" applyBorder="1" applyAlignment="1" applyProtection="1">
      <alignment horizontal="right"/>
      <protection hidden="1"/>
    </xf>
    <xf numFmtId="0" fontId="10" fillId="2" borderId="29" xfId="0" applyFont="1" applyFill="1" applyBorder="1" applyAlignment="1" applyProtection="1">
      <alignment horizontal="right"/>
      <protection hidden="1"/>
    </xf>
    <xf numFmtId="0" fontId="10" fillId="2" borderId="30" xfId="0" applyFont="1" applyFill="1" applyBorder="1" applyAlignment="1" applyProtection="1">
      <alignment horizontal="right"/>
      <protection hidden="1"/>
    </xf>
    <xf numFmtId="0" fontId="10" fillId="3" borderId="34" xfId="0" applyFont="1" applyFill="1" applyBorder="1" applyAlignment="1" applyProtection="1">
      <alignment horizontal="right"/>
      <protection hidden="1"/>
    </xf>
    <xf numFmtId="0" fontId="10" fillId="3" borderId="34" xfId="0" applyFont="1" applyFill="1" applyBorder="1" applyProtection="1">
      <protection hidden="1"/>
    </xf>
    <xf numFmtId="0" fontId="10" fillId="0" borderId="26" xfId="0" applyFont="1" applyFill="1" applyBorder="1" applyProtection="1">
      <protection hidden="1"/>
    </xf>
    <xf numFmtId="0" fontId="10" fillId="0" borderId="27" xfId="0" applyFont="1" applyFill="1" applyBorder="1" applyProtection="1">
      <protection hidden="1"/>
    </xf>
    <xf numFmtId="0" fontId="10" fillId="0" borderId="28" xfId="0" applyFont="1" applyFill="1" applyBorder="1" applyProtection="1">
      <protection hidden="1"/>
    </xf>
    <xf numFmtId="0" fontId="10" fillId="0" borderId="29" xfId="0" applyFont="1" applyFill="1" applyBorder="1" applyProtection="1">
      <protection hidden="1"/>
    </xf>
    <xf numFmtId="0" fontId="10" fillId="0" borderId="30" xfId="0" applyFont="1" applyFill="1" applyBorder="1" applyProtection="1">
      <protection hidden="1"/>
    </xf>
    <xf numFmtId="0" fontId="10" fillId="0" borderId="31" xfId="0" applyFont="1" applyFill="1" applyBorder="1" applyProtection="1">
      <protection hidden="1"/>
    </xf>
    <xf numFmtId="0" fontId="10" fillId="4" borderId="32" xfId="0" applyFont="1" applyFill="1" applyBorder="1" applyProtection="1">
      <protection hidden="1"/>
    </xf>
    <xf numFmtId="0" fontId="10" fillId="4" borderId="29" xfId="0" applyFont="1" applyFill="1" applyBorder="1" applyProtection="1">
      <protection hidden="1"/>
    </xf>
    <xf numFmtId="0" fontId="10" fillId="4" borderId="30" xfId="0" applyFont="1" applyFill="1" applyBorder="1" applyProtection="1">
      <protection hidden="1"/>
    </xf>
    <xf numFmtId="0" fontId="10" fillId="4" borderId="28" xfId="0" applyFont="1" applyFill="1" applyBorder="1" applyProtection="1">
      <protection hidden="1"/>
    </xf>
    <xf numFmtId="0" fontId="10" fillId="4" borderId="31" xfId="0" applyFont="1" applyFill="1" applyBorder="1" applyProtection="1">
      <protection hidden="1"/>
    </xf>
    <xf numFmtId="0" fontId="10" fillId="5" borderId="33" xfId="0" applyFont="1" applyFill="1" applyBorder="1" applyAlignment="1" applyProtection="1">
      <alignment horizontal="right" vertical="center"/>
      <protection hidden="1"/>
    </xf>
    <xf numFmtId="0" fontId="10" fillId="0" borderId="32" xfId="0" applyFont="1" applyFill="1" applyBorder="1" applyProtection="1">
      <protection hidden="1"/>
    </xf>
    <xf numFmtId="1" fontId="10" fillId="6" borderId="32" xfId="0" applyNumberFormat="1" applyFont="1" applyFill="1" applyBorder="1" applyAlignment="1" applyProtection="1">
      <alignment horizontal="right"/>
      <protection hidden="1"/>
    </xf>
    <xf numFmtId="1" fontId="10" fillId="6" borderId="30" xfId="0" applyNumberFormat="1" applyFont="1" applyFill="1" applyBorder="1" applyAlignment="1" applyProtection="1">
      <alignment horizontal="right"/>
      <protection hidden="1"/>
    </xf>
    <xf numFmtId="0" fontId="10" fillId="5" borderId="34" xfId="0" applyFont="1" applyFill="1" applyBorder="1" applyAlignment="1" applyProtection="1">
      <alignment horizontal="right" vertical="center"/>
      <protection hidden="1"/>
    </xf>
    <xf numFmtId="1" fontId="10" fillId="6" borderId="29" xfId="0" applyNumberFormat="1" applyFont="1" applyFill="1" applyBorder="1" applyAlignment="1" applyProtection="1">
      <alignment horizontal="right"/>
      <protection hidden="1"/>
    </xf>
    <xf numFmtId="1" fontId="10" fillId="4" borderId="32" xfId="0" applyNumberFormat="1" applyFont="1" applyFill="1" applyBorder="1" applyAlignment="1" applyProtection="1">
      <alignment horizontal="right"/>
      <protection hidden="1"/>
    </xf>
    <xf numFmtId="1" fontId="10" fillId="4" borderId="29" xfId="0" applyNumberFormat="1" applyFont="1" applyFill="1" applyBorder="1" applyAlignment="1" applyProtection="1">
      <alignment horizontal="right"/>
      <protection hidden="1"/>
    </xf>
    <xf numFmtId="1" fontId="10" fillId="4" borderId="30" xfId="0" applyNumberFormat="1" applyFont="1" applyFill="1" applyBorder="1" applyAlignment="1" applyProtection="1">
      <alignment horizontal="right"/>
      <protection hidden="1"/>
    </xf>
    <xf numFmtId="1" fontId="10" fillId="6" borderId="34" xfId="0" applyNumberFormat="1" applyFont="1" applyFill="1" applyBorder="1" applyAlignment="1" applyProtection="1">
      <alignment horizontal="right"/>
      <protection hidden="1"/>
    </xf>
    <xf numFmtId="0" fontId="10" fillId="0" borderId="34" xfId="0" applyFont="1" applyFill="1" applyBorder="1" applyProtection="1">
      <protection hidden="1"/>
    </xf>
    <xf numFmtId="1" fontId="10" fillId="3" borderId="29" xfId="0" applyNumberFormat="1" applyFont="1" applyFill="1" applyBorder="1" applyAlignment="1" applyProtection="1">
      <alignment horizontal="right"/>
      <protection hidden="1"/>
    </xf>
    <xf numFmtId="1" fontId="10" fillId="3" borderId="30" xfId="0" applyNumberFormat="1" applyFont="1" applyFill="1" applyBorder="1" applyAlignment="1" applyProtection="1">
      <alignment horizontal="right"/>
      <protection hidden="1"/>
    </xf>
    <xf numFmtId="1" fontId="10" fillId="2" borderId="32" xfId="0" applyNumberFormat="1" applyFont="1" applyFill="1" applyBorder="1" applyAlignment="1" applyProtection="1">
      <alignment horizontal="right"/>
      <protection hidden="1"/>
    </xf>
    <xf numFmtId="1" fontId="10" fillId="2" borderId="29" xfId="0" applyNumberFormat="1" applyFont="1" applyFill="1" applyBorder="1" applyAlignment="1" applyProtection="1">
      <alignment horizontal="right"/>
      <protection hidden="1"/>
    </xf>
    <xf numFmtId="1" fontId="10" fillId="2" borderId="30" xfId="0" applyNumberFormat="1" applyFont="1" applyFill="1" applyBorder="1" applyAlignment="1" applyProtection="1">
      <alignment horizontal="right"/>
      <protection hidden="1"/>
    </xf>
    <xf numFmtId="0" fontId="10" fillId="6" borderId="32" xfId="0" applyFont="1" applyFill="1" applyBorder="1" applyAlignment="1" applyProtection="1">
      <alignment horizontal="right"/>
      <protection hidden="1"/>
    </xf>
    <xf numFmtId="0" fontId="10" fillId="6" borderId="30" xfId="0" applyFont="1" applyFill="1" applyBorder="1" applyAlignment="1" applyProtection="1">
      <alignment horizontal="right"/>
      <protection hidden="1"/>
    </xf>
    <xf numFmtId="0" fontId="10" fillId="6" borderId="34" xfId="0" applyFont="1" applyFill="1" applyBorder="1" applyAlignment="1" applyProtection="1">
      <alignment horizontal="right"/>
      <protection hidden="1"/>
    </xf>
    <xf numFmtId="0" fontId="10" fillId="0" borderId="36" xfId="0" applyFont="1" applyFill="1" applyBorder="1" applyProtection="1">
      <protection hidden="1"/>
    </xf>
    <xf numFmtId="0" fontId="10" fillId="0" borderId="37" xfId="0" applyFont="1" applyFill="1" applyBorder="1" applyProtection="1">
      <protection hidden="1"/>
    </xf>
    <xf numFmtId="0" fontId="10" fillId="0" borderId="38" xfId="0" applyFont="1" applyFill="1" applyBorder="1" applyProtection="1">
      <protection hidden="1"/>
    </xf>
    <xf numFmtId="0" fontId="10" fillId="0" borderId="39" xfId="0" applyFont="1" applyFill="1" applyBorder="1" applyProtection="1">
      <protection hidden="1"/>
    </xf>
    <xf numFmtId="0" fontId="10" fillId="0" borderId="40" xfId="0" applyFont="1" applyFill="1" applyBorder="1" applyProtection="1">
      <protection hidden="1"/>
    </xf>
    <xf numFmtId="0" fontId="10" fillId="0" borderId="41" xfId="0" applyFont="1" applyFill="1" applyBorder="1" applyProtection="1">
      <protection hidden="1"/>
    </xf>
    <xf numFmtId="0" fontId="10" fillId="4" borderId="42" xfId="0" applyFont="1" applyFill="1" applyBorder="1" applyProtection="1">
      <protection hidden="1"/>
    </xf>
    <xf numFmtId="0" fontId="10" fillId="4" borderId="39" xfId="0" applyFont="1" applyFill="1" applyBorder="1" applyProtection="1">
      <protection hidden="1"/>
    </xf>
    <xf numFmtId="0" fontId="10" fillId="4" borderId="40" xfId="0" applyFont="1" applyFill="1" applyBorder="1" applyProtection="1">
      <protection hidden="1"/>
    </xf>
    <xf numFmtId="0" fontId="10" fillId="4" borderId="38" xfId="0" applyFont="1" applyFill="1" applyBorder="1" applyProtection="1">
      <protection hidden="1"/>
    </xf>
    <xf numFmtId="0" fontId="10" fillId="4" borderId="41" xfId="0" applyFont="1" applyFill="1" applyBorder="1" applyProtection="1">
      <protection hidden="1"/>
    </xf>
    <xf numFmtId="0" fontId="10" fillId="5" borderId="43" xfId="0" applyFont="1" applyFill="1" applyBorder="1" applyAlignment="1" applyProtection="1">
      <alignment horizontal="right" vertical="center"/>
      <protection hidden="1"/>
    </xf>
    <xf numFmtId="0" fontId="10" fillId="0" borderId="42" xfId="0" applyFont="1" applyFill="1" applyBorder="1" applyProtection="1">
      <protection hidden="1"/>
    </xf>
    <xf numFmtId="0" fontId="10" fillId="6" borderId="42" xfId="0" applyFont="1" applyFill="1" applyBorder="1" applyAlignment="1" applyProtection="1">
      <alignment horizontal="right"/>
      <protection hidden="1"/>
    </xf>
    <xf numFmtId="0" fontId="10" fillId="6" borderId="40" xfId="0" applyFont="1" applyFill="1" applyBorder="1" applyAlignment="1" applyProtection="1">
      <alignment horizontal="right"/>
      <protection hidden="1"/>
    </xf>
    <xf numFmtId="0" fontId="10" fillId="5" borderId="44" xfId="0" applyFont="1" applyFill="1" applyBorder="1" applyAlignment="1" applyProtection="1">
      <alignment horizontal="right" vertical="center"/>
      <protection hidden="1"/>
    </xf>
    <xf numFmtId="0" fontId="10" fillId="6" borderId="39" xfId="0" applyFont="1" applyFill="1" applyBorder="1" applyAlignment="1" applyProtection="1">
      <alignment horizontal="right"/>
      <protection hidden="1"/>
    </xf>
    <xf numFmtId="0" fontId="10" fillId="4" borderId="42" xfId="0" applyFont="1" applyFill="1" applyBorder="1" applyAlignment="1" applyProtection="1">
      <alignment horizontal="right"/>
      <protection hidden="1"/>
    </xf>
    <xf numFmtId="0" fontId="10" fillId="4" borderId="39" xfId="0" applyFont="1" applyFill="1" applyBorder="1" applyAlignment="1" applyProtection="1">
      <alignment horizontal="right"/>
      <protection hidden="1"/>
    </xf>
    <xf numFmtId="0" fontId="10" fillId="4" borderId="40" xfId="0" applyFont="1" applyFill="1" applyBorder="1" applyAlignment="1" applyProtection="1">
      <alignment horizontal="right"/>
      <protection hidden="1"/>
    </xf>
    <xf numFmtId="0" fontId="10" fillId="6" borderId="44" xfId="0" applyFont="1" applyFill="1" applyBorder="1" applyAlignment="1" applyProtection="1">
      <alignment horizontal="right"/>
      <protection hidden="1"/>
    </xf>
    <xf numFmtId="0" fontId="10" fillId="0" borderId="44" xfId="0" applyFont="1" applyFill="1" applyBorder="1" applyProtection="1">
      <protection hidden="1"/>
    </xf>
    <xf numFmtId="0" fontId="10" fillId="3" borderId="13" xfId="0" applyFont="1" applyFill="1" applyBorder="1" applyProtection="1">
      <protection hidden="1"/>
    </xf>
    <xf numFmtId="0" fontId="10" fillId="3" borderId="14" xfId="0" applyFont="1" applyFill="1" applyBorder="1" applyProtection="1">
      <protection hidden="1"/>
    </xf>
    <xf numFmtId="0" fontId="10" fillId="3" borderId="15" xfId="0" applyFont="1" applyFill="1" applyBorder="1" applyProtection="1">
      <protection hidden="1"/>
    </xf>
    <xf numFmtId="0" fontId="10" fillId="3" borderId="16" xfId="0" applyFont="1" applyFill="1" applyBorder="1" applyProtection="1">
      <protection hidden="1"/>
    </xf>
    <xf numFmtId="0" fontId="10" fillId="3" borderId="17" xfId="0" applyFont="1" applyFill="1" applyBorder="1" applyProtection="1">
      <protection hidden="1"/>
    </xf>
    <xf numFmtId="0" fontId="10" fillId="3" borderId="18" xfId="0" applyFont="1" applyFill="1" applyBorder="1" applyProtection="1">
      <protection hidden="1"/>
    </xf>
    <xf numFmtId="0" fontId="10" fillId="2" borderId="19" xfId="0" applyFont="1" applyFill="1" applyBorder="1" applyProtection="1">
      <protection hidden="1"/>
    </xf>
    <xf numFmtId="0" fontId="10" fillId="2" borderId="16" xfId="0" applyFont="1" applyFill="1" applyBorder="1" applyProtection="1">
      <protection hidden="1"/>
    </xf>
    <xf numFmtId="0" fontId="10" fillId="2" borderId="17" xfId="0" applyFont="1" applyFill="1" applyBorder="1" applyProtection="1">
      <protection hidden="1"/>
    </xf>
    <xf numFmtId="0" fontId="10" fillId="2" borderId="15" xfId="0" applyFont="1" applyFill="1" applyBorder="1" applyProtection="1">
      <protection hidden="1"/>
    </xf>
    <xf numFmtId="0" fontId="10" fillId="2" borderId="18" xfId="0" applyFont="1" applyFill="1" applyBorder="1" applyProtection="1">
      <protection hidden="1"/>
    </xf>
    <xf numFmtId="0" fontId="10" fillId="3" borderId="45" xfId="0" applyFont="1" applyFill="1" applyBorder="1" applyAlignment="1" applyProtection="1">
      <alignment horizontal="right" vertical="center"/>
      <protection hidden="1"/>
    </xf>
    <xf numFmtId="0" fontId="10" fillId="3" borderId="19" xfId="0" applyFont="1" applyFill="1" applyBorder="1" applyProtection="1">
      <protection hidden="1"/>
    </xf>
    <xf numFmtId="0" fontId="10" fillId="3" borderId="21" xfId="0" applyFont="1" applyFill="1" applyBorder="1" applyAlignment="1" applyProtection="1">
      <alignment horizontal="right"/>
      <protection hidden="1"/>
    </xf>
    <xf numFmtId="0" fontId="10" fillId="3" borderId="22" xfId="0" applyFont="1" applyFill="1" applyBorder="1" applyAlignment="1" applyProtection="1">
      <alignment horizontal="right"/>
      <protection hidden="1"/>
    </xf>
    <xf numFmtId="0" fontId="10" fillId="3" borderId="25" xfId="0" applyFont="1" applyFill="1" applyBorder="1" applyAlignment="1" applyProtection="1">
      <alignment horizontal="right" vertical="center"/>
      <protection hidden="1"/>
    </xf>
    <xf numFmtId="0" fontId="10" fillId="3" borderId="24" xfId="0" applyFont="1" applyFill="1" applyBorder="1" applyAlignment="1" applyProtection="1">
      <alignment horizontal="right"/>
      <protection hidden="1"/>
    </xf>
    <xf numFmtId="0" fontId="10" fillId="2" borderId="21" xfId="0" applyFont="1" applyFill="1" applyBorder="1" applyAlignment="1" applyProtection="1">
      <alignment horizontal="right"/>
      <protection hidden="1"/>
    </xf>
    <xf numFmtId="0" fontId="10" fillId="2" borderId="24" xfId="0" applyFont="1" applyFill="1" applyBorder="1" applyAlignment="1" applyProtection="1">
      <alignment horizontal="right"/>
      <protection hidden="1"/>
    </xf>
    <xf numFmtId="0" fontId="10" fillId="2" borderId="22" xfId="0" applyFont="1" applyFill="1" applyBorder="1" applyAlignment="1" applyProtection="1">
      <alignment horizontal="right"/>
      <protection hidden="1"/>
    </xf>
    <xf numFmtId="0" fontId="10" fillId="3" borderId="25" xfId="0" applyFont="1" applyFill="1" applyBorder="1" applyAlignment="1" applyProtection="1">
      <alignment horizontal="right"/>
      <protection hidden="1"/>
    </xf>
    <xf numFmtId="0" fontId="10" fillId="3" borderId="23" xfId="0" applyFont="1" applyFill="1" applyBorder="1" applyProtection="1">
      <protection hidden="1"/>
    </xf>
    <xf numFmtId="0" fontId="10" fillId="6" borderId="29" xfId="0" applyFont="1" applyFill="1" applyBorder="1" applyAlignment="1" applyProtection="1">
      <alignment horizontal="right"/>
      <protection hidden="1"/>
    </xf>
    <xf numFmtId="0" fontId="10" fillId="4" borderId="32" xfId="0" applyFont="1" applyFill="1" applyBorder="1" applyAlignment="1" applyProtection="1">
      <alignment horizontal="right"/>
      <protection hidden="1"/>
    </xf>
    <xf numFmtId="0" fontId="10" fillId="4" borderId="29" xfId="0" applyFont="1" applyFill="1" applyBorder="1" applyAlignment="1" applyProtection="1">
      <alignment horizontal="right"/>
      <protection hidden="1"/>
    </xf>
    <xf numFmtId="0" fontId="10" fillId="4" borderId="30" xfId="0" applyFont="1" applyFill="1" applyBorder="1" applyAlignment="1" applyProtection="1">
      <alignment horizontal="right"/>
      <protection hidden="1"/>
    </xf>
    <xf numFmtId="0" fontId="10" fillId="0" borderId="28" xfId="0" applyFont="1" applyFill="1" applyBorder="1" applyAlignment="1" applyProtection="1">
      <alignment horizontal="right"/>
      <protection hidden="1"/>
    </xf>
    <xf numFmtId="0" fontId="10" fillId="0" borderId="29" xfId="0" applyFont="1" applyFill="1" applyBorder="1" applyAlignment="1" applyProtection="1">
      <alignment horizontal="right"/>
      <protection hidden="1"/>
    </xf>
    <xf numFmtId="0" fontId="10" fillId="0" borderId="31" xfId="0" applyFont="1" applyFill="1" applyBorder="1" applyAlignment="1" applyProtection="1">
      <alignment horizontal="right"/>
      <protection hidden="1"/>
    </xf>
    <xf numFmtId="0" fontId="10" fillId="0" borderId="34" xfId="0" applyFont="1" applyFill="1" applyBorder="1" applyAlignment="1" applyProtection="1">
      <alignment horizontal="right"/>
      <protection hidden="1"/>
    </xf>
    <xf numFmtId="2" fontId="10" fillId="3" borderId="32" xfId="0" applyNumberFormat="1" applyFont="1" applyFill="1" applyBorder="1" applyAlignment="1" applyProtection="1">
      <alignment horizontal="right"/>
      <protection hidden="1"/>
    </xf>
    <xf numFmtId="2" fontId="10" fillId="3" borderId="30" xfId="0" applyNumberFormat="1" applyFont="1" applyFill="1" applyBorder="1" applyAlignment="1" applyProtection="1">
      <alignment horizontal="right"/>
      <protection hidden="1"/>
    </xf>
    <xf numFmtId="2" fontId="10" fillId="3" borderId="34" xfId="0" applyNumberFormat="1" applyFont="1" applyFill="1" applyBorder="1" applyAlignment="1" applyProtection="1">
      <alignment horizontal="right"/>
      <protection hidden="1"/>
    </xf>
    <xf numFmtId="0" fontId="10" fillId="3" borderId="36" xfId="0" applyFont="1" applyFill="1" applyBorder="1" applyProtection="1">
      <protection hidden="1"/>
    </xf>
    <xf numFmtId="0" fontId="10" fillId="3" borderId="37" xfId="0" applyFont="1" applyFill="1" applyBorder="1" applyProtection="1">
      <protection hidden="1"/>
    </xf>
    <xf numFmtId="0" fontId="10" fillId="3" borderId="38" xfId="0" applyFont="1" applyFill="1" applyBorder="1" applyProtection="1">
      <protection hidden="1"/>
    </xf>
    <xf numFmtId="0" fontId="10" fillId="3" borderId="39" xfId="0" applyFont="1" applyFill="1" applyBorder="1" applyProtection="1">
      <protection hidden="1"/>
    </xf>
    <xf numFmtId="0" fontId="10" fillId="3" borderId="40" xfId="0" applyFont="1" applyFill="1" applyBorder="1" applyProtection="1">
      <protection hidden="1"/>
    </xf>
    <xf numFmtId="0" fontId="10" fillId="3" borderId="41" xfId="0" applyFont="1" applyFill="1" applyBorder="1" applyProtection="1">
      <protection hidden="1"/>
    </xf>
    <xf numFmtId="0" fontId="10" fillId="2" borderId="42" xfId="0" applyFont="1" applyFill="1" applyBorder="1" applyProtection="1">
      <protection hidden="1"/>
    </xf>
    <xf numFmtId="0" fontId="10" fillId="2" borderId="39" xfId="0" applyFont="1" applyFill="1" applyBorder="1" applyProtection="1">
      <protection hidden="1"/>
    </xf>
    <xf numFmtId="0" fontId="10" fillId="2" borderId="40" xfId="0" applyFont="1" applyFill="1" applyBorder="1" applyProtection="1">
      <protection hidden="1"/>
    </xf>
    <xf numFmtId="0" fontId="10" fillId="2" borderId="38" xfId="0" applyFont="1" applyFill="1" applyBorder="1" applyProtection="1">
      <protection hidden="1"/>
    </xf>
    <xf numFmtId="0" fontId="10" fillId="2" borderId="41" xfId="0" applyFont="1" applyFill="1" applyBorder="1" applyProtection="1">
      <protection hidden="1"/>
    </xf>
    <xf numFmtId="0" fontId="10" fillId="3" borderId="43" xfId="0" applyFont="1" applyFill="1" applyBorder="1" applyAlignment="1" applyProtection="1">
      <alignment horizontal="right" vertical="center"/>
      <protection hidden="1"/>
    </xf>
    <xf numFmtId="0" fontId="10" fillId="3" borderId="42" xfId="0" applyFont="1" applyFill="1" applyBorder="1" applyProtection="1">
      <protection hidden="1"/>
    </xf>
    <xf numFmtId="0" fontId="10" fillId="3" borderId="42" xfId="0" applyFont="1" applyFill="1" applyBorder="1" applyAlignment="1" applyProtection="1">
      <alignment horizontal="right"/>
      <protection hidden="1"/>
    </xf>
    <xf numFmtId="0" fontId="10" fillId="3" borderId="40" xfId="0" applyFont="1" applyFill="1" applyBorder="1" applyAlignment="1" applyProtection="1">
      <alignment horizontal="right"/>
      <protection hidden="1"/>
    </xf>
    <xf numFmtId="0" fontId="10" fillId="2" borderId="91" xfId="0" applyFont="1" applyFill="1" applyBorder="1" applyProtection="1">
      <protection hidden="1"/>
    </xf>
    <xf numFmtId="0" fontId="10" fillId="2" borderId="92" xfId="0" applyFont="1" applyFill="1" applyBorder="1" applyProtection="1">
      <protection hidden="1"/>
    </xf>
    <xf numFmtId="0" fontId="10" fillId="2" borderId="93" xfId="0" applyFont="1" applyFill="1" applyBorder="1" applyProtection="1">
      <protection hidden="1"/>
    </xf>
    <xf numFmtId="0" fontId="10" fillId="3" borderId="94" xfId="0" applyFont="1" applyFill="1" applyBorder="1" applyAlignment="1" applyProtection="1">
      <alignment horizontal="right" vertical="center"/>
      <protection hidden="1"/>
    </xf>
    <xf numFmtId="0" fontId="10" fillId="3" borderId="95" xfId="0" applyFont="1" applyFill="1" applyBorder="1" applyAlignment="1" applyProtection="1">
      <alignment horizontal="right"/>
      <protection hidden="1"/>
    </xf>
    <xf numFmtId="0" fontId="10" fillId="3" borderId="39" xfId="0" applyFont="1" applyFill="1" applyBorder="1" applyAlignment="1" applyProtection="1">
      <alignment horizontal="right"/>
      <protection hidden="1"/>
    </xf>
    <xf numFmtId="0" fontId="10" fillId="2" borderId="42" xfId="0" applyFont="1" applyFill="1" applyBorder="1" applyAlignment="1" applyProtection="1">
      <alignment horizontal="right"/>
      <protection hidden="1"/>
    </xf>
    <xf numFmtId="0" fontId="10" fillId="2" borderId="39" xfId="0" applyFont="1" applyFill="1" applyBorder="1" applyAlignment="1" applyProtection="1">
      <alignment horizontal="right"/>
      <protection hidden="1"/>
    </xf>
    <xf numFmtId="0" fontId="10" fillId="2" borderId="40" xfId="0" applyFont="1" applyFill="1" applyBorder="1" applyAlignment="1" applyProtection="1">
      <alignment horizontal="right"/>
      <protection hidden="1"/>
    </xf>
    <xf numFmtId="0" fontId="10" fillId="3" borderId="44" xfId="0" applyFont="1" applyFill="1" applyBorder="1" applyAlignment="1" applyProtection="1">
      <alignment horizontal="right"/>
      <protection hidden="1"/>
    </xf>
    <xf numFmtId="0" fontId="10" fillId="3" borderId="44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4" fillId="7" borderId="53" xfId="0" applyFont="1" applyFill="1" applyBorder="1" applyAlignment="1" applyProtection="1">
      <alignment vertical="center"/>
      <protection hidden="1"/>
    </xf>
    <xf numFmtId="0" fontId="14" fillId="7" borderId="46" xfId="0" applyFont="1" applyFill="1" applyBorder="1" applyAlignment="1" applyProtection="1">
      <alignment vertical="center"/>
      <protection hidden="1"/>
    </xf>
    <xf numFmtId="0" fontId="14" fillId="7" borderId="59" xfId="0" applyFont="1" applyFill="1" applyBorder="1" applyAlignment="1" applyProtection="1">
      <alignment vertical="center"/>
      <protection hidden="1"/>
    </xf>
    <xf numFmtId="0" fontId="14" fillId="7" borderId="47" xfId="0" applyFont="1" applyFill="1" applyBorder="1" applyAlignment="1" applyProtection="1">
      <alignment vertical="center"/>
      <protection hidden="1"/>
    </xf>
    <xf numFmtId="0" fontId="10" fillId="7" borderId="0" xfId="0" applyFont="1" applyFill="1" applyBorder="1" applyAlignment="1" applyProtection="1">
      <alignment vertical="center"/>
      <protection hidden="1"/>
    </xf>
    <xf numFmtId="0" fontId="10" fillId="7" borderId="60" xfId="0" applyFont="1" applyFill="1" applyBorder="1" applyAlignment="1" applyProtection="1">
      <alignment vertical="center"/>
      <protection hidden="1"/>
    </xf>
    <xf numFmtId="0" fontId="14" fillId="0" borderId="53" xfId="0" applyFont="1" applyBorder="1" applyProtection="1">
      <protection hidden="1"/>
    </xf>
    <xf numFmtId="0" fontId="14" fillId="0" borderId="46" xfId="0" applyFont="1" applyBorder="1" applyProtection="1">
      <protection hidden="1"/>
    </xf>
    <xf numFmtId="0" fontId="14" fillId="0" borderId="59" xfId="0" applyFont="1" applyBorder="1" applyProtection="1">
      <protection hidden="1"/>
    </xf>
    <xf numFmtId="0" fontId="14" fillId="0" borderId="0" xfId="0" applyFont="1" applyBorder="1" applyProtection="1">
      <protection hidden="1"/>
    </xf>
    <xf numFmtId="0" fontId="10" fillId="0" borderId="47" xfId="0" applyFont="1" applyBorder="1" applyProtection="1">
      <protection hidden="1"/>
    </xf>
    <xf numFmtId="0" fontId="10" fillId="0" borderId="60" xfId="0" applyFont="1" applyBorder="1" applyProtection="1">
      <protection hidden="1"/>
    </xf>
    <xf numFmtId="0" fontId="10" fillId="0" borderId="59" xfId="0" applyFont="1" applyBorder="1" applyProtection="1">
      <protection hidden="1"/>
    </xf>
    <xf numFmtId="0" fontId="10" fillId="0" borderId="59" xfId="0" applyFont="1" applyFill="1" applyBorder="1" applyProtection="1">
      <protection hidden="1"/>
    </xf>
    <xf numFmtId="0" fontId="14" fillId="0" borderId="53" xfId="0" applyFont="1" applyBorder="1" applyAlignment="1" applyProtection="1">
      <protection hidden="1"/>
    </xf>
    <xf numFmtId="0" fontId="10" fillId="0" borderId="46" xfId="0" applyFont="1" applyBorder="1" applyAlignment="1" applyProtection="1">
      <protection hidden="1"/>
    </xf>
    <xf numFmtId="0" fontId="14" fillId="0" borderId="46" xfId="0" applyFont="1" applyBorder="1" applyAlignment="1" applyProtection="1">
      <protection hidden="1"/>
    </xf>
    <xf numFmtId="0" fontId="10" fillId="0" borderId="59" xfId="0" applyFont="1" applyBorder="1" applyAlignment="1" applyProtection="1">
      <protection hidden="1"/>
    </xf>
    <xf numFmtId="0" fontId="14" fillId="0" borderId="53" xfId="0" applyFont="1" applyFill="1" applyBorder="1" applyProtection="1">
      <protection hidden="1"/>
    </xf>
    <xf numFmtId="0" fontId="10" fillId="0" borderId="46" xfId="0" applyFont="1" applyBorder="1" applyProtection="1">
      <protection hidden="1"/>
    </xf>
    <xf numFmtId="0" fontId="14" fillId="0" borderId="48" xfId="0" applyFont="1" applyBorder="1" applyProtection="1">
      <protection hidden="1"/>
    </xf>
    <xf numFmtId="0" fontId="10" fillId="0" borderId="62" xfId="0" applyFont="1" applyBorder="1" applyProtection="1">
      <protection hidden="1"/>
    </xf>
    <xf numFmtId="0" fontId="14" fillId="0" borderId="47" xfId="0" applyFont="1" applyBorder="1" applyProtection="1">
      <protection hidden="1"/>
    </xf>
    <xf numFmtId="0" fontId="10" fillId="0" borderId="60" xfId="0" applyFont="1" applyFill="1" applyBorder="1" applyProtection="1">
      <protection hidden="1"/>
    </xf>
    <xf numFmtId="0" fontId="14" fillId="0" borderId="47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10" fillId="0" borderId="60" xfId="0" applyFont="1" applyBorder="1" applyAlignment="1" applyProtection="1">
      <protection hidden="1"/>
    </xf>
    <xf numFmtId="0" fontId="14" fillId="0" borderId="47" xfId="0" applyFont="1" applyFill="1" applyBorder="1" applyProtection="1">
      <protection hidden="1"/>
    </xf>
    <xf numFmtId="0" fontId="14" fillId="0" borderId="48" xfId="0" applyFont="1" applyBorder="1" applyAlignment="1" applyProtection="1">
      <protection hidden="1"/>
    </xf>
    <xf numFmtId="0" fontId="10" fillId="0" borderId="49" xfId="0" applyFont="1" applyBorder="1" applyAlignment="1" applyProtection="1">
      <protection hidden="1"/>
    </xf>
    <xf numFmtId="0" fontId="14" fillId="0" borderId="49" xfId="0" applyFont="1" applyFill="1" applyBorder="1" applyProtection="1">
      <protection hidden="1"/>
    </xf>
    <xf numFmtId="0" fontId="10" fillId="0" borderId="48" xfId="0" applyFont="1" applyBorder="1" applyProtection="1">
      <protection hidden="1"/>
    </xf>
    <xf numFmtId="0" fontId="10" fillId="0" borderId="49" xfId="0" applyFont="1" applyBorder="1" applyProtection="1">
      <protection hidden="1"/>
    </xf>
    <xf numFmtId="0" fontId="10" fillId="0" borderId="62" xfId="0" applyFont="1" applyFill="1" applyBorder="1" applyProtection="1">
      <protection hidden="1"/>
    </xf>
    <xf numFmtId="0" fontId="10" fillId="0" borderId="49" xfId="0" applyFont="1" applyFill="1" applyBorder="1" applyProtection="1">
      <protection hidden="1"/>
    </xf>
    <xf numFmtId="9" fontId="10" fillId="7" borderId="0" xfId="0" applyNumberFormat="1" applyFont="1" applyFill="1" applyBorder="1" applyAlignment="1" applyProtection="1">
      <alignment vertical="center"/>
      <protection hidden="1"/>
    </xf>
    <xf numFmtId="9" fontId="10" fillId="7" borderId="6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Border="1" applyProtection="1">
      <protection hidden="1"/>
    </xf>
    <xf numFmtId="0" fontId="14" fillId="7" borderId="48" xfId="0" applyFont="1" applyFill="1" applyBorder="1" applyAlignment="1" applyProtection="1">
      <alignment vertical="center"/>
      <protection hidden="1"/>
    </xf>
    <xf numFmtId="0" fontId="10" fillId="7" borderId="49" xfId="0" applyFont="1" applyFill="1" applyBorder="1" applyAlignment="1" applyProtection="1">
      <alignment vertical="center"/>
      <protection hidden="1"/>
    </xf>
    <xf numFmtId="0" fontId="10" fillId="7" borderId="62" xfId="0" applyFont="1" applyFill="1" applyBorder="1" applyAlignment="1" applyProtection="1">
      <alignment vertical="center"/>
      <protection hidden="1"/>
    </xf>
    <xf numFmtId="0" fontId="20" fillId="0" borderId="0" xfId="0" applyFont="1" applyBorder="1" applyProtection="1">
      <protection hidden="1"/>
    </xf>
    <xf numFmtId="0" fontId="10" fillId="0" borderId="46" xfId="0" applyFont="1" applyFill="1" applyBorder="1" applyProtection="1">
      <protection hidden="1"/>
    </xf>
    <xf numFmtId="0" fontId="10" fillId="0" borderId="0" xfId="0" applyFont="1" applyProtection="1">
      <protection hidden="1"/>
    </xf>
    <xf numFmtId="9" fontId="10" fillId="0" borderId="0" xfId="1" applyFont="1" applyFill="1" applyBorder="1" applyProtection="1">
      <protection hidden="1"/>
    </xf>
    <xf numFmtId="9" fontId="10" fillId="0" borderId="60" xfId="1" applyFont="1" applyFill="1" applyBorder="1" applyProtection="1">
      <protection hidden="1"/>
    </xf>
    <xf numFmtId="0" fontId="14" fillId="0" borderId="48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6" borderId="53" xfId="0" applyFont="1" applyFill="1" applyBorder="1" applyAlignment="1" applyProtection="1">
      <alignment vertical="center"/>
      <protection hidden="1"/>
    </xf>
    <xf numFmtId="0" fontId="4" fillId="6" borderId="46" xfId="0" applyFont="1" applyFill="1" applyBorder="1" applyAlignment="1" applyProtection="1">
      <alignment vertical="center"/>
      <protection hidden="1"/>
    </xf>
    <xf numFmtId="0" fontId="4" fillId="6" borderId="47" xfId="0" applyFont="1" applyFill="1" applyBorder="1" applyAlignment="1" applyProtection="1">
      <alignment vertical="center"/>
      <protection hidden="1"/>
    </xf>
    <xf numFmtId="0" fontId="4" fillId="6" borderId="0" xfId="0" applyFont="1" applyFill="1" applyBorder="1" applyAlignment="1" applyProtection="1">
      <alignment vertical="center"/>
      <protection hidden="1"/>
    </xf>
    <xf numFmtId="0" fontId="4" fillId="6" borderId="60" xfId="0" applyFont="1" applyFill="1" applyBorder="1" applyAlignment="1" applyProtection="1">
      <alignment vertical="center"/>
      <protection hidden="1"/>
    </xf>
    <xf numFmtId="0" fontId="4" fillId="6" borderId="48" xfId="0" applyFont="1" applyFill="1" applyBorder="1" applyAlignment="1" applyProtection="1">
      <alignment vertical="center"/>
      <protection hidden="1"/>
    </xf>
    <xf numFmtId="0" fontId="4" fillId="6" borderId="49" xfId="0" applyFont="1" applyFill="1" applyBorder="1" applyAlignment="1" applyProtection="1">
      <alignment vertical="center"/>
      <protection hidden="1"/>
    </xf>
    <xf numFmtId="0" fontId="4" fillId="6" borderId="62" xfId="0" applyFont="1" applyFill="1" applyBorder="1" applyAlignment="1" applyProtection="1">
      <alignment vertical="center"/>
      <protection hidden="1"/>
    </xf>
    <xf numFmtId="0" fontId="4" fillId="14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64" fontId="10" fillId="0" borderId="59" xfId="0" applyNumberFormat="1" applyFont="1" applyBorder="1" applyProtection="1">
      <protection hidden="1"/>
    </xf>
    <xf numFmtId="164" fontId="10" fillId="0" borderId="62" xfId="0" applyNumberFormat="1" applyFont="1" applyBorder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Protection="1"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9" xfId="0" applyFont="1" applyBorder="1" applyAlignment="1" applyProtection="1">
      <protection locked="0" hidden="1"/>
    </xf>
    <xf numFmtId="0" fontId="10" fillId="0" borderId="60" xfId="0" applyFont="1" applyBorder="1" applyAlignment="1" applyProtection="1">
      <protection locked="0" hidden="1"/>
    </xf>
    <xf numFmtId="0" fontId="10" fillId="0" borderId="62" xfId="0" applyFont="1" applyBorder="1" applyProtection="1">
      <protection locked="0" hidden="1"/>
    </xf>
    <xf numFmtId="0" fontId="19" fillId="7" borderId="53" xfId="0" applyFont="1" applyFill="1" applyBorder="1" applyAlignment="1" applyProtection="1">
      <alignment horizontal="center" vertical="center"/>
      <protection hidden="1"/>
    </xf>
    <xf numFmtId="0" fontId="19" fillId="7" borderId="46" xfId="0" applyFont="1" applyFill="1" applyBorder="1" applyAlignment="1" applyProtection="1">
      <alignment horizontal="center" vertical="center"/>
      <protection hidden="1"/>
    </xf>
    <xf numFmtId="0" fontId="19" fillId="7" borderId="59" xfId="0" applyFont="1" applyFill="1" applyBorder="1" applyAlignment="1" applyProtection="1">
      <alignment horizontal="center" vertical="center"/>
      <protection hidden="1"/>
    </xf>
    <xf numFmtId="0" fontId="19" fillId="7" borderId="47" xfId="0" applyFont="1" applyFill="1" applyBorder="1" applyAlignment="1" applyProtection="1">
      <alignment horizontal="center"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9" fillId="7" borderId="60" xfId="0" applyFont="1" applyFill="1" applyBorder="1" applyAlignment="1" applyProtection="1">
      <alignment horizontal="center" vertical="center"/>
      <protection hidden="1"/>
    </xf>
    <xf numFmtId="0" fontId="12" fillId="7" borderId="47" xfId="0" applyFont="1" applyFill="1" applyBorder="1" applyAlignment="1" applyProtection="1">
      <alignment horizontal="center" vertical="center" wrapText="1"/>
      <protection hidden="1"/>
    </xf>
    <xf numFmtId="0" fontId="12" fillId="7" borderId="0" xfId="0" applyFont="1" applyFill="1" applyBorder="1" applyAlignment="1" applyProtection="1">
      <alignment horizontal="center" vertical="center" wrapText="1"/>
      <protection hidden="1"/>
    </xf>
    <xf numFmtId="0" fontId="12" fillId="7" borderId="60" xfId="0" applyFont="1" applyFill="1" applyBorder="1" applyAlignment="1" applyProtection="1">
      <alignment horizontal="center" vertical="center" wrapText="1"/>
      <protection hidden="1"/>
    </xf>
    <xf numFmtId="0" fontId="18" fillId="6" borderId="46" xfId="0" applyFont="1" applyFill="1" applyBorder="1" applyAlignment="1" applyProtection="1">
      <alignment horizontal="center" vertical="center"/>
      <protection hidden="1"/>
    </xf>
    <xf numFmtId="0" fontId="18" fillId="6" borderId="49" xfId="0" applyFont="1" applyFill="1" applyBorder="1" applyAlignment="1" applyProtection="1">
      <alignment horizontal="center" vertical="center"/>
      <protection hidden="1"/>
    </xf>
    <xf numFmtId="0" fontId="4" fillId="6" borderId="46" xfId="0" applyFont="1" applyFill="1" applyBorder="1" applyAlignment="1" applyProtection="1">
      <alignment horizontal="center" vertical="center"/>
      <protection hidden="1"/>
    </xf>
    <xf numFmtId="0" fontId="4" fillId="6" borderId="49" xfId="0" applyFont="1" applyFill="1" applyBorder="1" applyAlignment="1" applyProtection="1">
      <alignment horizontal="center" vertical="center"/>
      <protection hidden="1"/>
    </xf>
    <xf numFmtId="0" fontId="4" fillId="6" borderId="70" xfId="0" applyFont="1" applyFill="1" applyBorder="1" applyAlignment="1" applyProtection="1">
      <alignment horizontal="center" vertical="center"/>
      <protection locked="0" hidden="1"/>
    </xf>
    <xf numFmtId="0" fontId="4" fillId="6" borderId="72" xfId="0" applyFont="1" applyFill="1" applyBorder="1" applyAlignment="1" applyProtection="1">
      <alignment horizontal="center" vertical="center"/>
      <protection locked="0" hidden="1"/>
    </xf>
    <xf numFmtId="0" fontId="4" fillId="6" borderId="77" xfId="0" applyFont="1" applyFill="1" applyBorder="1" applyAlignment="1" applyProtection="1">
      <alignment horizontal="center" vertical="center"/>
      <protection locked="0" hidden="1"/>
    </xf>
    <xf numFmtId="0" fontId="4" fillId="6" borderId="79" xfId="0" applyFont="1" applyFill="1" applyBorder="1" applyAlignment="1" applyProtection="1">
      <alignment horizontal="center" vertical="center"/>
      <protection locked="0" hidden="1"/>
    </xf>
    <xf numFmtId="0" fontId="4" fillId="0" borderId="65" xfId="0" applyFont="1" applyFill="1" applyBorder="1" applyAlignment="1" applyProtection="1">
      <alignment horizontal="center" vertical="center"/>
      <protection hidden="1"/>
    </xf>
    <xf numFmtId="0" fontId="13" fillId="13" borderId="0" xfId="0" applyFont="1" applyFill="1" applyBorder="1" applyAlignment="1" applyProtection="1">
      <alignment horizontal="center" vertical="center"/>
      <protection hidden="1"/>
    </xf>
    <xf numFmtId="0" fontId="4" fillId="7" borderId="65" xfId="0" applyFont="1" applyFill="1" applyBorder="1" applyAlignment="1" applyProtection="1">
      <alignment horizontal="left" vertical="center"/>
      <protection hidden="1"/>
    </xf>
    <xf numFmtId="0" fontId="4" fillId="7" borderId="96" xfId="0" applyFont="1" applyFill="1" applyBorder="1" applyAlignment="1" applyProtection="1">
      <alignment horizontal="left" vertical="center"/>
      <protection hidden="1"/>
    </xf>
    <xf numFmtId="0" fontId="16" fillId="13" borderId="0" xfId="0" applyFont="1" applyFill="1" applyBorder="1" applyAlignment="1" applyProtection="1">
      <alignment horizontal="center" vertical="center"/>
      <protection hidden="1"/>
    </xf>
    <xf numFmtId="0" fontId="13" fillId="13" borderId="47" xfId="0" applyFont="1" applyFill="1" applyBorder="1" applyAlignment="1" applyProtection="1">
      <alignment horizontal="left" vertical="center"/>
      <protection hidden="1"/>
    </xf>
    <xf numFmtId="0" fontId="13" fillId="13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7" borderId="65" xfId="0" applyFont="1" applyFill="1" applyBorder="1" applyAlignment="1" applyProtection="1">
      <alignment horizontal="center" vertical="center"/>
      <protection hidden="1"/>
    </xf>
    <xf numFmtId="9" fontId="4" fillId="0" borderId="65" xfId="0" applyNumberFormat="1" applyFont="1" applyFill="1" applyBorder="1" applyAlignment="1" applyProtection="1">
      <alignment horizontal="center" vertical="center"/>
      <protection hidden="1"/>
    </xf>
    <xf numFmtId="0" fontId="4" fillId="17" borderId="35" xfId="0" applyFont="1" applyFill="1" applyBorder="1" applyAlignment="1" applyProtection="1">
      <alignment horizontal="center" vertical="center"/>
      <protection hidden="1"/>
    </xf>
    <xf numFmtId="0" fontId="4" fillId="17" borderId="4" xfId="0" applyFont="1" applyFill="1" applyBorder="1" applyAlignment="1" applyProtection="1">
      <alignment horizontal="center" vertical="center"/>
      <protection hidden="1"/>
    </xf>
    <xf numFmtId="0" fontId="4" fillId="17" borderId="9" xfId="0" applyFont="1" applyFill="1" applyBorder="1" applyAlignment="1" applyProtection="1">
      <alignment horizontal="center" vertical="center"/>
      <protection hidden="1"/>
    </xf>
    <xf numFmtId="0" fontId="4" fillId="18" borderId="4" xfId="0" applyFont="1" applyFill="1" applyBorder="1" applyAlignment="1" applyProtection="1">
      <alignment horizontal="center" vertical="center"/>
      <protection hidden="1"/>
    </xf>
    <xf numFmtId="0" fontId="4" fillId="15" borderId="9" xfId="0" applyFont="1" applyFill="1" applyBorder="1" applyAlignment="1" applyProtection="1">
      <alignment horizontal="center" vertical="center"/>
      <protection hidden="1"/>
    </xf>
    <xf numFmtId="0" fontId="4" fillId="15" borderId="4" xfId="0" applyFont="1" applyFill="1" applyBorder="1" applyAlignment="1" applyProtection="1">
      <alignment horizontal="center" vertical="center"/>
      <protection hidden="1"/>
    </xf>
    <xf numFmtId="0" fontId="15" fillId="7" borderId="90" xfId="0" applyFont="1" applyFill="1" applyBorder="1" applyAlignment="1" applyProtection="1">
      <alignment horizontal="center" vertical="center" wrapText="1"/>
      <protection hidden="1"/>
    </xf>
    <xf numFmtId="0" fontId="15" fillId="7" borderId="0" xfId="0" applyFont="1" applyFill="1" applyBorder="1" applyAlignment="1" applyProtection="1">
      <alignment horizontal="center" vertical="center" wrapText="1"/>
      <protection hidden="1"/>
    </xf>
    <xf numFmtId="0" fontId="15" fillId="7" borderId="50" xfId="0" applyFont="1" applyFill="1" applyBorder="1" applyAlignment="1" applyProtection="1">
      <alignment horizontal="center" vertical="center" wrapText="1"/>
      <protection hidden="1"/>
    </xf>
    <xf numFmtId="0" fontId="15" fillId="7" borderId="88" xfId="0" applyFont="1" applyFill="1" applyBorder="1" applyAlignment="1" applyProtection="1">
      <alignment horizontal="center" vertical="center" wrapText="1"/>
      <protection hidden="1"/>
    </xf>
    <xf numFmtId="0" fontId="15" fillId="7" borderId="78" xfId="0" applyFont="1" applyFill="1" applyBorder="1" applyAlignment="1" applyProtection="1">
      <alignment horizontal="center" vertical="center" wrapText="1"/>
      <protection hidden="1"/>
    </xf>
    <xf numFmtId="0" fontId="21" fillId="9" borderId="90" xfId="0" applyFont="1" applyFill="1" applyBorder="1" applyAlignment="1" applyProtection="1">
      <alignment horizontal="center" vertical="center"/>
      <protection locked="0" hidden="1"/>
    </xf>
    <xf numFmtId="0" fontId="21" fillId="9" borderId="71" xfId="0" applyFont="1" applyFill="1" applyBorder="1" applyAlignment="1" applyProtection="1">
      <alignment horizontal="center" vertical="center"/>
      <protection locked="0" hidden="1"/>
    </xf>
    <xf numFmtId="0" fontId="21" fillId="9" borderId="50" xfId="0" applyFont="1" applyFill="1" applyBorder="1" applyAlignment="1" applyProtection="1">
      <alignment horizontal="center" vertical="center"/>
      <protection locked="0" hidden="1"/>
    </xf>
    <xf numFmtId="0" fontId="21" fillId="9" borderId="0" xfId="0" applyFont="1" applyFill="1" applyBorder="1" applyAlignment="1" applyProtection="1">
      <alignment horizontal="center" vertical="center"/>
      <protection locked="0" hidden="1"/>
    </xf>
    <xf numFmtId="0" fontId="21" fillId="9" borderId="5" xfId="0" applyFont="1" applyFill="1" applyBorder="1" applyAlignment="1" applyProtection="1">
      <alignment horizontal="center" vertical="center"/>
      <protection locked="0" hidden="1"/>
    </xf>
    <xf numFmtId="0" fontId="21" fillId="9" borderId="1" xfId="0" applyFont="1" applyFill="1" applyBorder="1" applyAlignment="1" applyProtection="1">
      <alignment horizontal="center" vertical="center"/>
      <protection locked="0" hidden="1"/>
    </xf>
    <xf numFmtId="0" fontId="21" fillId="15" borderId="2" xfId="0" applyFont="1" applyFill="1" applyBorder="1" applyAlignment="1" applyProtection="1">
      <alignment horizontal="center" vertical="center"/>
      <protection locked="0" hidden="1"/>
    </xf>
    <xf numFmtId="0" fontId="21" fillId="15" borderId="3" xfId="0" applyFont="1" applyFill="1" applyBorder="1" applyAlignment="1" applyProtection="1">
      <alignment horizontal="center" vertical="center"/>
      <protection locked="0" hidden="1"/>
    </xf>
    <xf numFmtId="0" fontId="21" fillId="15" borderId="50" xfId="0" applyFont="1" applyFill="1" applyBorder="1" applyAlignment="1" applyProtection="1">
      <alignment horizontal="center" vertical="center"/>
      <protection locked="0" hidden="1"/>
    </xf>
    <xf numFmtId="0" fontId="21" fillId="15" borderId="0" xfId="0" applyFont="1" applyFill="1" applyBorder="1" applyAlignment="1" applyProtection="1">
      <alignment horizontal="center" vertical="center"/>
      <protection locked="0" hidden="1"/>
    </xf>
    <xf numFmtId="0" fontId="21" fillId="15" borderId="5" xfId="0" applyFont="1" applyFill="1" applyBorder="1" applyAlignment="1" applyProtection="1">
      <alignment horizontal="center" vertical="center"/>
      <protection locked="0" hidden="1"/>
    </xf>
    <xf numFmtId="0" fontId="21" fillId="15" borderId="1" xfId="0" applyFont="1" applyFill="1" applyBorder="1" applyAlignment="1" applyProtection="1">
      <alignment horizontal="center" vertical="center"/>
      <protection locked="0" hidden="1"/>
    </xf>
    <xf numFmtId="0" fontId="21" fillId="11" borderId="2" xfId="0" applyFont="1" applyFill="1" applyBorder="1" applyAlignment="1" applyProtection="1">
      <alignment horizontal="center" vertical="center"/>
      <protection locked="0" hidden="1"/>
    </xf>
    <xf numFmtId="0" fontId="21" fillId="11" borderId="3" xfId="0" applyFont="1" applyFill="1" applyBorder="1" applyAlignment="1" applyProtection="1">
      <alignment horizontal="center" vertical="center"/>
      <protection locked="0" hidden="1"/>
    </xf>
    <xf numFmtId="0" fontId="21" fillId="11" borderId="50" xfId="0" applyFont="1" applyFill="1" applyBorder="1" applyAlignment="1" applyProtection="1">
      <alignment horizontal="center" vertical="center"/>
      <protection locked="0" hidden="1"/>
    </xf>
    <xf numFmtId="0" fontId="21" fillId="11" borderId="0" xfId="0" applyFont="1" applyFill="1" applyBorder="1" applyAlignment="1" applyProtection="1">
      <alignment horizontal="center" vertical="center"/>
      <protection locked="0" hidden="1"/>
    </xf>
    <xf numFmtId="0" fontId="21" fillId="11" borderId="88" xfId="0" applyFont="1" applyFill="1" applyBorder="1" applyAlignment="1" applyProtection="1">
      <alignment horizontal="center" vertical="center"/>
      <protection locked="0" hidden="1"/>
    </xf>
    <xf numFmtId="0" fontId="21" fillId="11" borderId="78" xfId="0" applyFont="1" applyFill="1" applyBorder="1" applyAlignment="1" applyProtection="1">
      <alignment horizontal="center" vertical="center"/>
      <protection locked="0" hidden="1"/>
    </xf>
    <xf numFmtId="0" fontId="15" fillId="8" borderId="89" xfId="0" applyFont="1" applyFill="1" applyBorder="1" applyAlignment="1" applyProtection="1">
      <alignment horizontal="center" vertical="center"/>
      <protection hidden="1"/>
    </xf>
    <xf numFmtId="0" fontId="15" fillId="8" borderId="71" xfId="0" applyFont="1" applyFill="1" applyBorder="1" applyAlignment="1" applyProtection="1">
      <alignment horizontal="center" vertical="center"/>
      <protection hidden="1"/>
    </xf>
    <xf numFmtId="0" fontId="15" fillId="8" borderId="48" xfId="0" applyFont="1" applyFill="1" applyBorder="1" applyAlignment="1" applyProtection="1">
      <alignment horizontal="center" vertical="center"/>
      <protection hidden="1"/>
    </xf>
    <xf numFmtId="0" fontId="15" fillId="8" borderId="49" xfId="0" applyFont="1" applyFill="1" applyBorder="1" applyAlignment="1" applyProtection="1">
      <alignment horizontal="center" vertical="center"/>
      <protection hidden="1"/>
    </xf>
    <xf numFmtId="0" fontId="13" fillId="15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15" borderId="68" xfId="0" applyNumberFormat="1" applyFont="1" applyFill="1" applyBorder="1" applyAlignment="1" applyProtection="1">
      <alignment horizontal="center" vertical="center" wrapText="1"/>
      <protection hidden="1"/>
    </xf>
    <xf numFmtId="0" fontId="13" fillId="18" borderId="4" xfId="0" applyNumberFormat="1" applyFont="1" applyFill="1" applyBorder="1" applyAlignment="1" applyProtection="1">
      <alignment horizontal="center" vertical="center" wrapText="1"/>
      <protection hidden="1"/>
    </xf>
    <xf numFmtId="0" fontId="13" fillId="18" borderId="68" xfId="0" applyNumberFormat="1" applyFont="1" applyFill="1" applyBorder="1" applyAlignment="1" applyProtection="1">
      <alignment horizontal="center" vertical="center" wrapText="1"/>
      <protection hidden="1"/>
    </xf>
    <xf numFmtId="0" fontId="13" fillId="18" borderId="57" xfId="0" applyNumberFormat="1" applyFont="1" applyFill="1" applyBorder="1" applyAlignment="1" applyProtection="1">
      <alignment horizontal="center" vertical="center" wrapText="1"/>
      <protection hidden="1"/>
    </xf>
    <xf numFmtId="0" fontId="13" fillId="18" borderId="69" xfId="0" applyNumberFormat="1" applyFont="1" applyFill="1" applyBorder="1" applyAlignment="1" applyProtection="1">
      <alignment horizontal="center" vertical="center" wrapText="1"/>
      <protection hidden="1"/>
    </xf>
    <xf numFmtId="0" fontId="13" fillId="17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7" borderId="51" xfId="0" applyFont="1" applyFill="1" applyBorder="1" applyAlignment="1" applyProtection="1">
      <alignment horizontal="center"/>
      <protection hidden="1"/>
    </xf>
    <xf numFmtId="0" fontId="4" fillId="7" borderId="4" xfId="0" applyFont="1" applyFill="1" applyBorder="1" applyAlignment="1" applyProtection="1">
      <alignment horizontal="center"/>
      <protection hidden="1"/>
    </xf>
    <xf numFmtId="0" fontId="13" fillId="7" borderId="51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 vertical="center"/>
      <protection hidden="1"/>
    </xf>
    <xf numFmtId="0" fontId="4" fillId="0" borderId="67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15" fillId="12" borderId="0" xfId="0" applyFont="1" applyFill="1" applyBorder="1" applyAlignment="1" applyProtection="1">
      <alignment horizontal="center" vertical="center"/>
      <protection hidden="1"/>
    </xf>
    <xf numFmtId="0" fontId="15" fillId="12" borderId="60" xfId="0" applyFont="1" applyFill="1" applyBorder="1" applyAlignment="1" applyProtection="1">
      <alignment horizontal="center" vertical="center"/>
      <protection hidden="1"/>
    </xf>
    <xf numFmtId="0" fontId="15" fillId="12" borderId="49" xfId="0" applyFont="1" applyFill="1" applyBorder="1" applyAlignment="1" applyProtection="1">
      <alignment horizontal="center" vertical="center"/>
      <protection hidden="1"/>
    </xf>
    <xf numFmtId="0" fontId="15" fillId="12" borderId="62" xfId="0" applyFont="1" applyFill="1" applyBorder="1" applyAlignment="1" applyProtection="1">
      <alignment horizontal="center" vertical="center"/>
      <protection hidden="1"/>
    </xf>
    <xf numFmtId="0" fontId="15" fillId="7" borderId="35" xfId="0" applyFont="1" applyFill="1" applyBorder="1" applyAlignment="1" applyProtection="1">
      <alignment horizontal="center" vertical="center" wrapText="1"/>
      <protection hidden="1"/>
    </xf>
    <xf numFmtId="0" fontId="15" fillId="7" borderId="4" xfId="0" applyFont="1" applyFill="1" applyBorder="1" applyAlignment="1" applyProtection="1">
      <alignment horizontal="center" vertical="center" wrapText="1"/>
      <protection hidden="1"/>
    </xf>
    <xf numFmtId="0" fontId="15" fillId="7" borderId="12" xfId="0" applyFont="1" applyFill="1" applyBorder="1" applyAlignment="1" applyProtection="1">
      <alignment horizontal="center" vertical="center" wrapText="1"/>
      <protection hidden="1"/>
    </xf>
    <xf numFmtId="0" fontId="21" fillId="9" borderId="81" xfId="0" applyFont="1" applyFill="1" applyBorder="1" applyAlignment="1" applyProtection="1">
      <alignment horizontal="center" vertical="center"/>
      <protection locked="0" hidden="1"/>
    </xf>
    <xf numFmtId="0" fontId="21" fillId="9" borderId="4" xfId="0" applyFont="1" applyFill="1" applyBorder="1" applyAlignment="1" applyProtection="1">
      <alignment horizontal="center" vertical="center"/>
      <protection locked="0" hidden="1"/>
    </xf>
    <xf numFmtId="0" fontId="21" fillId="15" borderId="4" xfId="0" applyFont="1" applyFill="1" applyBorder="1" applyAlignment="1" applyProtection="1">
      <alignment horizontal="center" vertical="center"/>
      <protection locked="0" hidden="1"/>
    </xf>
    <xf numFmtId="0" fontId="21" fillId="11" borderId="4" xfId="0" applyFont="1" applyFill="1" applyBorder="1" applyAlignment="1" applyProtection="1">
      <alignment horizontal="center" vertical="center"/>
      <protection locked="0" hidden="1"/>
    </xf>
    <xf numFmtId="0" fontId="21" fillId="11" borderId="86" xfId="0" applyFont="1" applyFill="1" applyBorder="1" applyAlignment="1" applyProtection="1">
      <alignment horizontal="center" vertical="center"/>
      <protection locked="0" hidden="1"/>
    </xf>
    <xf numFmtId="0" fontId="15" fillId="8" borderId="47" xfId="0" applyFont="1" applyFill="1" applyBorder="1" applyAlignment="1" applyProtection="1">
      <alignment horizontal="center" vertical="center"/>
      <protection hidden="1"/>
    </xf>
    <xf numFmtId="0" fontId="15" fillId="8" borderId="0" xfId="0" applyFont="1" applyFill="1" applyBorder="1" applyAlignment="1" applyProtection="1">
      <alignment horizontal="center" vertical="center"/>
      <protection hidden="1"/>
    </xf>
    <xf numFmtId="0" fontId="15" fillId="8" borderId="7" xfId="0" applyFont="1" applyFill="1" applyBorder="1" applyAlignment="1" applyProtection="1">
      <alignment horizontal="center" vertical="center"/>
      <protection hidden="1"/>
    </xf>
    <xf numFmtId="0" fontId="4" fillId="7" borderId="46" xfId="0" applyFont="1" applyFill="1" applyBorder="1" applyAlignment="1" applyProtection="1">
      <alignment horizontal="center" vertical="center" wrapText="1"/>
      <protection hidden="1"/>
    </xf>
    <xf numFmtId="0" fontId="4" fillId="7" borderId="0" xfId="0" applyFont="1" applyFill="1" applyBorder="1" applyAlignment="1" applyProtection="1">
      <alignment horizontal="center" vertical="center" wrapText="1"/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hidden="1"/>
    </xf>
    <xf numFmtId="0" fontId="13" fillId="17" borderId="68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82" xfId="0" applyFont="1" applyFill="1" applyBorder="1" applyAlignment="1" applyProtection="1">
      <alignment horizontal="center" vertical="center"/>
      <protection locked="0" hidden="1"/>
    </xf>
    <xf numFmtId="0" fontId="21" fillId="9" borderId="84" xfId="0" applyFont="1" applyFill="1" applyBorder="1" applyAlignment="1" applyProtection="1">
      <alignment horizontal="center" vertical="center"/>
      <protection locked="0" hidden="1"/>
    </xf>
    <xf numFmtId="0" fontId="15" fillId="7" borderId="5" xfId="0" applyFont="1" applyFill="1" applyBorder="1" applyAlignment="1" applyProtection="1">
      <alignment horizontal="center" vertical="center" wrapText="1"/>
      <protection hidden="1"/>
    </xf>
    <xf numFmtId="0" fontId="15" fillId="7" borderId="68" xfId="0" applyFont="1" applyFill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21" fillId="15" borderId="84" xfId="0" applyFont="1" applyFill="1" applyBorder="1" applyAlignment="1" applyProtection="1">
      <alignment horizontal="center" vertical="center"/>
      <protection locked="0" hidden="1"/>
    </xf>
    <xf numFmtId="0" fontId="15" fillId="18" borderId="52" xfId="0" applyFont="1" applyFill="1" applyBorder="1" applyAlignment="1" applyProtection="1">
      <alignment horizontal="center" vertical="center"/>
      <protection hidden="1"/>
    </xf>
    <xf numFmtId="0" fontId="15" fillId="18" borderId="4" xfId="0" applyFont="1" applyFill="1" applyBorder="1" applyAlignment="1" applyProtection="1">
      <alignment horizontal="center" vertical="center"/>
      <protection hidden="1"/>
    </xf>
    <xf numFmtId="0" fontId="15" fillId="18" borderId="56" xfId="0" applyFont="1" applyFill="1" applyBorder="1" applyAlignment="1" applyProtection="1">
      <alignment horizontal="center" vertical="center"/>
      <protection hidden="1"/>
    </xf>
    <xf numFmtId="0" fontId="15" fillId="18" borderId="57" xfId="0" applyFont="1" applyFill="1" applyBorder="1" applyAlignment="1" applyProtection="1">
      <alignment horizontal="center" vertical="center"/>
      <protection hidden="1"/>
    </xf>
    <xf numFmtId="0" fontId="15" fillId="17" borderId="52" xfId="0" applyFont="1" applyFill="1" applyBorder="1" applyAlignment="1" applyProtection="1">
      <alignment horizontal="center" vertical="center"/>
      <protection hidden="1"/>
    </xf>
    <xf numFmtId="0" fontId="15" fillId="17" borderId="4" xfId="0" applyFont="1" applyFill="1" applyBorder="1" applyAlignment="1" applyProtection="1">
      <alignment horizontal="center" vertical="center"/>
      <protection hidden="1"/>
    </xf>
    <xf numFmtId="0" fontId="15" fillId="15" borderId="52" xfId="0" applyFont="1" applyFill="1" applyBorder="1" applyAlignment="1" applyProtection="1">
      <alignment horizontal="center" vertical="center"/>
      <protection hidden="1"/>
    </xf>
    <xf numFmtId="0" fontId="15" fillId="15" borderId="4" xfId="0" applyFont="1" applyFill="1" applyBorder="1" applyAlignment="1" applyProtection="1">
      <alignment horizontal="center" vertical="center"/>
      <protection hidden="1"/>
    </xf>
    <xf numFmtId="0" fontId="4" fillId="8" borderId="66" xfId="0" applyFont="1" applyFill="1" applyBorder="1" applyAlignment="1" applyProtection="1">
      <alignment horizontal="center" vertical="center"/>
      <protection hidden="1"/>
    </xf>
    <xf numFmtId="0" fontId="4" fillId="8" borderId="51" xfId="0" applyFont="1" applyFill="1" applyBorder="1" applyAlignment="1" applyProtection="1">
      <alignment horizontal="center" vertical="center"/>
      <protection hidden="1"/>
    </xf>
    <xf numFmtId="0" fontId="4" fillId="8" borderId="52" xfId="0" applyFont="1" applyFill="1" applyBorder="1" applyAlignment="1" applyProtection="1">
      <alignment horizontal="center" vertical="center"/>
      <protection hidden="1"/>
    </xf>
    <xf numFmtId="0" fontId="4" fillId="8" borderId="4" xfId="0" applyFont="1" applyFill="1" applyBorder="1" applyAlignment="1" applyProtection="1">
      <alignment horizontal="center" vertical="center"/>
      <protection hidden="1"/>
    </xf>
    <xf numFmtId="0" fontId="21" fillId="15" borderId="83" xfId="0" applyNumberFormat="1" applyFont="1" applyFill="1" applyBorder="1" applyAlignment="1" applyProtection="1">
      <alignment horizontal="center" vertical="center"/>
      <protection locked="0" hidden="1"/>
    </xf>
    <xf numFmtId="0" fontId="21" fillId="15" borderId="4" xfId="0" applyNumberFormat="1" applyFont="1" applyFill="1" applyBorder="1" applyAlignment="1" applyProtection="1">
      <alignment horizontal="center" vertical="center"/>
      <protection locked="0" hidden="1"/>
    </xf>
    <xf numFmtId="0" fontId="21" fillId="11" borderId="83" xfId="0" applyNumberFormat="1" applyFont="1" applyFill="1" applyBorder="1" applyAlignment="1" applyProtection="1">
      <alignment horizontal="center" vertical="center"/>
      <protection locked="0" hidden="1"/>
    </xf>
    <xf numFmtId="0" fontId="21" fillId="11" borderId="4" xfId="0" applyNumberFormat="1" applyFont="1" applyFill="1" applyBorder="1" applyAlignment="1" applyProtection="1">
      <alignment horizontal="center" vertical="center"/>
      <protection locked="0" hidden="1"/>
    </xf>
    <xf numFmtId="0" fontId="21" fillId="11" borderId="85" xfId="0" applyNumberFormat="1" applyFont="1" applyFill="1" applyBorder="1" applyAlignment="1" applyProtection="1">
      <alignment horizontal="center" vertical="center"/>
      <protection locked="0" hidden="1"/>
    </xf>
    <xf numFmtId="0" fontId="21" fillId="11" borderId="86" xfId="0" applyNumberFormat="1" applyFont="1" applyFill="1" applyBorder="1" applyAlignment="1" applyProtection="1">
      <alignment horizontal="center" vertical="center"/>
      <protection locked="0" hidden="1"/>
    </xf>
    <xf numFmtId="0" fontId="13" fillId="8" borderId="52" xfId="0" applyFont="1" applyFill="1" applyBorder="1" applyAlignment="1" applyProtection="1">
      <alignment horizontal="left" vertical="center"/>
      <protection hidden="1"/>
    </xf>
    <xf numFmtId="0" fontId="13" fillId="8" borderId="4" xfId="0" applyFont="1" applyFill="1" applyBorder="1" applyAlignment="1" applyProtection="1">
      <alignment horizontal="left" vertical="center"/>
      <protection hidden="1"/>
    </xf>
    <xf numFmtId="0" fontId="13" fillId="8" borderId="68" xfId="0" applyFont="1" applyFill="1" applyBorder="1" applyAlignment="1" applyProtection="1">
      <alignment horizontal="left" vertical="center"/>
      <protection hidden="1"/>
    </xf>
    <xf numFmtId="0" fontId="13" fillId="13" borderId="48" xfId="0" applyFont="1" applyFill="1" applyBorder="1" applyAlignment="1" applyProtection="1">
      <alignment horizontal="left" vertical="center"/>
      <protection hidden="1"/>
    </xf>
    <xf numFmtId="0" fontId="13" fillId="13" borderId="49" xfId="0" applyFont="1" applyFill="1" applyBorder="1" applyAlignment="1" applyProtection="1">
      <alignment horizontal="left" vertical="center"/>
      <protection hidden="1"/>
    </xf>
    <xf numFmtId="0" fontId="15" fillId="8" borderId="51" xfId="0" applyFont="1" applyFill="1" applyBorder="1" applyAlignment="1" applyProtection="1">
      <alignment horizontal="center" vertical="center"/>
      <protection hidden="1"/>
    </xf>
    <xf numFmtId="0" fontId="15" fillId="8" borderId="4" xfId="0" applyFont="1" applyFill="1" applyBorder="1" applyAlignment="1" applyProtection="1">
      <alignment horizontal="center" vertical="center"/>
      <protection hidden="1"/>
    </xf>
    <xf numFmtId="0" fontId="15" fillId="8" borderId="12" xfId="0" applyFont="1" applyFill="1" applyBorder="1" applyAlignment="1" applyProtection="1">
      <alignment horizontal="center" vertical="center"/>
      <protection hidden="1"/>
    </xf>
    <xf numFmtId="0" fontId="21" fillId="9" borderId="80" xfId="0" applyNumberFormat="1" applyFont="1" applyFill="1" applyBorder="1" applyAlignment="1" applyProtection="1">
      <alignment horizontal="center" vertical="center"/>
      <protection locked="0" hidden="1"/>
    </xf>
    <xf numFmtId="0" fontId="21" fillId="9" borderId="81" xfId="0" applyNumberFormat="1" applyFont="1" applyFill="1" applyBorder="1" applyAlignment="1" applyProtection="1">
      <alignment horizontal="center" vertical="center"/>
      <protection locked="0" hidden="1"/>
    </xf>
    <xf numFmtId="0" fontId="21" fillId="9" borderId="83" xfId="0" applyNumberFormat="1" applyFont="1" applyFill="1" applyBorder="1" applyAlignment="1" applyProtection="1">
      <alignment horizontal="center" vertical="center"/>
      <protection locked="0" hidden="1"/>
    </xf>
    <xf numFmtId="0" fontId="21" fillId="9" borderId="4" xfId="0" applyNumberFormat="1" applyFont="1" applyFill="1" applyBorder="1" applyAlignment="1" applyProtection="1">
      <alignment horizontal="center" vertical="center"/>
      <protection locked="0" hidden="1"/>
    </xf>
    <xf numFmtId="0" fontId="13" fillId="8" borderId="56" xfId="0" applyFont="1" applyFill="1" applyBorder="1" applyAlignment="1" applyProtection="1">
      <alignment horizontal="left" vertical="center"/>
      <protection hidden="1"/>
    </xf>
    <xf numFmtId="0" fontId="13" fillId="8" borderId="57" xfId="0" applyFont="1" applyFill="1" applyBorder="1" applyAlignment="1" applyProtection="1">
      <alignment horizontal="left" vertical="center"/>
      <protection hidden="1"/>
    </xf>
    <xf numFmtId="0" fontId="13" fillId="8" borderId="69" xfId="0" applyFont="1" applyFill="1" applyBorder="1" applyAlignment="1" applyProtection="1">
      <alignment horizontal="left" vertical="center"/>
      <protection hidden="1"/>
    </xf>
    <xf numFmtId="0" fontId="11" fillId="10" borderId="75" xfId="0" applyFont="1" applyFill="1" applyBorder="1" applyAlignment="1" applyProtection="1">
      <alignment horizontal="center" vertical="center"/>
      <protection locked="0" hidden="1"/>
    </xf>
    <xf numFmtId="0" fontId="11" fillId="10" borderId="3" xfId="0" applyFont="1" applyFill="1" applyBorder="1" applyAlignment="1" applyProtection="1">
      <alignment horizontal="center" vertical="center"/>
      <protection locked="0" hidden="1"/>
    </xf>
    <xf numFmtId="0" fontId="11" fillId="10" borderId="76" xfId="0" applyFont="1" applyFill="1" applyBorder="1" applyAlignment="1" applyProtection="1">
      <alignment horizontal="center" vertical="center"/>
      <protection locked="0" hidden="1"/>
    </xf>
    <xf numFmtId="0" fontId="11" fillId="10" borderId="73" xfId="0" applyFont="1" applyFill="1" applyBorder="1" applyAlignment="1" applyProtection="1">
      <alignment horizontal="center" vertical="center"/>
      <protection locked="0" hidden="1"/>
    </xf>
    <xf numFmtId="0" fontId="11" fillId="10" borderId="0" xfId="0" applyFont="1" applyFill="1" applyBorder="1" applyAlignment="1" applyProtection="1">
      <alignment horizontal="center" vertical="center"/>
      <protection locked="0" hidden="1"/>
    </xf>
    <xf numFmtId="0" fontId="11" fillId="10" borderId="74" xfId="0" applyFont="1" applyFill="1" applyBorder="1" applyAlignment="1" applyProtection="1">
      <alignment horizontal="center" vertical="center"/>
      <protection locked="0" hidden="1"/>
    </xf>
    <xf numFmtId="0" fontId="11" fillId="10" borderId="77" xfId="0" applyFont="1" applyFill="1" applyBorder="1" applyAlignment="1" applyProtection="1">
      <alignment horizontal="center" vertical="center"/>
      <protection locked="0" hidden="1"/>
    </xf>
    <xf numFmtId="0" fontId="11" fillId="10" borderId="78" xfId="0" applyFont="1" applyFill="1" applyBorder="1" applyAlignment="1" applyProtection="1">
      <alignment horizontal="center" vertical="center"/>
      <protection locked="0" hidden="1"/>
    </xf>
    <xf numFmtId="0" fontId="11" fillId="10" borderId="79" xfId="0" applyFont="1" applyFill="1" applyBorder="1" applyAlignment="1" applyProtection="1">
      <alignment horizontal="center" vertical="center"/>
      <protection locked="0" hidden="1"/>
    </xf>
    <xf numFmtId="0" fontId="13" fillId="8" borderId="3" xfId="0" applyFont="1" applyFill="1" applyBorder="1" applyAlignment="1" applyProtection="1">
      <alignment horizontal="center" vertical="center"/>
      <protection hidden="1"/>
    </xf>
    <xf numFmtId="0" fontId="13" fillId="8" borderId="64" xfId="0" applyFont="1" applyFill="1" applyBorder="1" applyAlignment="1" applyProtection="1">
      <alignment horizontal="center" vertical="center"/>
      <protection hidden="1"/>
    </xf>
    <xf numFmtId="0" fontId="13" fillId="8" borderId="0" xfId="0" applyFont="1" applyFill="1" applyBorder="1" applyAlignment="1" applyProtection="1">
      <alignment horizontal="center" vertical="center"/>
      <protection hidden="1"/>
    </xf>
    <xf numFmtId="0" fontId="13" fillId="8" borderId="60" xfId="0" applyFont="1" applyFill="1" applyBorder="1" applyAlignment="1" applyProtection="1">
      <alignment horizontal="center" vertical="center"/>
      <protection hidden="1"/>
    </xf>
    <xf numFmtId="0" fontId="13" fillId="8" borderId="49" xfId="0" applyFont="1" applyFill="1" applyBorder="1" applyAlignment="1" applyProtection="1">
      <alignment horizontal="center" vertical="center"/>
      <protection hidden="1"/>
    </xf>
    <xf numFmtId="0" fontId="13" fillId="8" borderId="62" xfId="0" applyFont="1" applyFill="1" applyBorder="1" applyAlignment="1" applyProtection="1">
      <alignment horizontal="center" vertical="center"/>
      <protection hidden="1"/>
    </xf>
    <xf numFmtId="0" fontId="13" fillId="8" borderId="1" xfId="0" applyFont="1" applyFill="1" applyBorder="1" applyAlignment="1" applyProtection="1">
      <alignment horizontal="center" vertical="center"/>
      <protection hidden="1"/>
    </xf>
    <xf numFmtId="0" fontId="13" fillId="8" borderId="63" xfId="0" applyFont="1" applyFill="1" applyBorder="1" applyAlignment="1" applyProtection="1">
      <alignment horizontal="center" vertical="center"/>
      <protection hidden="1"/>
    </xf>
    <xf numFmtId="0" fontId="15" fillId="7" borderId="51" xfId="0" applyFont="1" applyFill="1" applyBorder="1" applyAlignment="1" applyProtection="1">
      <alignment horizontal="center" vertical="center" wrapText="1"/>
      <protection hidden="1"/>
    </xf>
    <xf numFmtId="0" fontId="4" fillId="0" borderId="96" xfId="0" applyFont="1" applyFill="1" applyBorder="1" applyAlignment="1" applyProtection="1">
      <alignment horizontal="center" vertical="center"/>
      <protection hidden="1"/>
    </xf>
    <xf numFmtId="0" fontId="13" fillId="13" borderId="49" xfId="0" applyFont="1" applyFill="1" applyBorder="1" applyAlignment="1" applyProtection="1">
      <alignment horizontal="center" vertical="center"/>
      <protection hidden="1"/>
    </xf>
    <xf numFmtId="0" fontId="16" fillId="13" borderId="49" xfId="0" applyFont="1" applyFill="1" applyBorder="1" applyAlignment="1" applyProtection="1">
      <alignment horizontal="center" vertical="center"/>
      <protection hidden="1"/>
    </xf>
    <xf numFmtId="0" fontId="4" fillId="14" borderId="0" xfId="0" applyFont="1" applyFill="1" applyAlignment="1" applyProtection="1">
      <alignment horizontal="center" vertical="center"/>
      <protection hidden="1"/>
    </xf>
    <xf numFmtId="0" fontId="13" fillId="8" borderId="53" xfId="0" applyFont="1" applyFill="1" applyBorder="1" applyAlignment="1" applyProtection="1">
      <alignment horizontal="left" vertical="center" wrapText="1"/>
      <protection hidden="1"/>
    </xf>
    <xf numFmtId="0" fontId="13" fillId="8" borderId="46" xfId="0" applyFont="1" applyFill="1" applyBorder="1" applyAlignment="1" applyProtection="1">
      <alignment horizontal="left" vertical="center" wrapText="1"/>
      <protection hidden="1"/>
    </xf>
    <xf numFmtId="0" fontId="13" fillId="8" borderId="55" xfId="0" applyFont="1" applyFill="1" applyBorder="1" applyAlignment="1" applyProtection="1">
      <alignment horizontal="left" vertical="center" wrapText="1"/>
      <protection hidden="1"/>
    </xf>
    <xf numFmtId="0" fontId="13" fillId="8" borderId="47" xfId="0" applyFont="1" applyFill="1" applyBorder="1" applyAlignment="1" applyProtection="1">
      <alignment horizontal="left" vertical="center" wrapText="1"/>
      <protection hidden="1"/>
    </xf>
    <xf numFmtId="0" fontId="13" fillId="8" borderId="0" xfId="0" applyFont="1" applyFill="1" applyBorder="1" applyAlignment="1" applyProtection="1">
      <alignment horizontal="left" vertical="center" wrapText="1"/>
      <protection hidden="1"/>
    </xf>
    <xf numFmtId="0" fontId="13" fillId="8" borderId="7" xfId="0" applyFont="1" applyFill="1" applyBorder="1" applyAlignment="1" applyProtection="1">
      <alignment horizontal="left" vertical="center" wrapText="1"/>
      <protection hidden="1"/>
    </xf>
    <xf numFmtId="0" fontId="4" fillId="8" borderId="58" xfId="0" applyFont="1" applyFill="1" applyBorder="1" applyAlignment="1" applyProtection="1">
      <alignment horizontal="left" vertical="center" wrapText="1"/>
      <protection hidden="1"/>
    </xf>
    <xf numFmtId="0" fontId="4" fillId="8" borderId="1" xfId="0" applyFont="1" applyFill="1" applyBorder="1" applyAlignment="1" applyProtection="1">
      <alignment horizontal="left" vertical="center" wrapText="1"/>
      <protection hidden="1"/>
    </xf>
    <xf numFmtId="0" fontId="4" fillId="8" borderId="6" xfId="0" applyFont="1" applyFill="1" applyBorder="1" applyAlignment="1" applyProtection="1">
      <alignment horizontal="left" vertical="center" wrapText="1"/>
      <protection hidden="1"/>
    </xf>
    <xf numFmtId="0" fontId="13" fillId="8" borderId="54" xfId="0" applyFont="1" applyFill="1" applyBorder="1" applyAlignment="1" applyProtection="1">
      <alignment horizontal="center" vertical="center"/>
      <protection hidden="1"/>
    </xf>
    <xf numFmtId="0" fontId="13" fillId="8" borderId="46" xfId="0" applyFont="1" applyFill="1" applyBorder="1" applyAlignment="1" applyProtection="1">
      <alignment horizontal="center" vertical="center"/>
      <protection hidden="1"/>
    </xf>
    <xf numFmtId="0" fontId="13" fillId="8" borderId="50" xfId="0" applyFont="1" applyFill="1" applyBorder="1" applyAlignment="1" applyProtection="1">
      <alignment horizontal="center" vertical="center"/>
      <protection hidden="1"/>
    </xf>
    <xf numFmtId="0" fontId="13" fillId="8" borderId="5" xfId="0" applyFont="1" applyFill="1" applyBorder="1" applyAlignment="1" applyProtection="1">
      <alignment horizontal="center" vertical="center"/>
      <protection hidden="1"/>
    </xf>
    <xf numFmtId="0" fontId="11" fillId="10" borderId="70" xfId="0" applyFont="1" applyFill="1" applyBorder="1" applyAlignment="1" applyProtection="1">
      <alignment horizontal="center" vertical="center"/>
      <protection locked="0" hidden="1"/>
    </xf>
    <xf numFmtId="0" fontId="11" fillId="10" borderId="71" xfId="0" applyFont="1" applyFill="1" applyBorder="1" applyAlignment="1" applyProtection="1">
      <alignment horizontal="center" vertical="center"/>
      <protection locked="0" hidden="1"/>
    </xf>
    <xf numFmtId="0" fontId="11" fillId="10" borderId="72" xfId="0" applyFont="1" applyFill="1" applyBorder="1" applyAlignment="1" applyProtection="1">
      <alignment horizontal="center" vertical="center"/>
      <protection locked="0" hidden="1"/>
    </xf>
    <xf numFmtId="0" fontId="13" fillId="8" borderId="59" xfId="0" applyFont="1" applyFill="1" applyBorder="1" applyAlignment="1" applyProtection="1">
      <alignment horizontal="center" vertical="center"/>
      <protection hidden="1"/>
    </xf>
    <xf numFmtId="0" fontId="13" fillId="8" borderId="2" xfId="0" applyFont="1" applyFill="1" applyBorder="1" applyAlignment="1" applyProtection="1">
      <alignment horizontal="center" vertical="center"/>
      <protection hidden="1"/>
    </xf>
    <xf numFmtId="0" fontId="9" fillId="14" borderId="0" xfId="0" applyFont="1" applyFill="1" applyAlignment="1" applyProtection="1">
      <alignment horizontal="center" vertical="center"/>
      <protection hidden="1"/>
    </xf>
    <xf numFmtId="0" fontId="21" fillId="11" borderId="84" xfId="0" applyFont="1" applyFill="1" applyBorder="1" applyAlignment="1" applyProtection="1">
      <alignment horizontal="center" vertical="center"/>
      <protection locked="0" hidden="1"/>
    </xf>
    <xf numFmtId="0" fontId="21" fillId="11" borderId="87" xfId="0" applyFont="1" applyFill="1" applyBorder="1" applyAlignment="1" applyProtection="1">
      <alignment horizontal="center" vertical="center"/>
      <protection locked="0" hidden="1"/>
    </xf>
  </cellXfs>
  <cellStyles count="11">
    <cellStyle name="Currency 2" xfId="4"/>
    <cellStyle name="Hyperlink 2" xfId="5"/>
    <cellStyle name="Input 2" xfId="3"/>
    <cellStyle name="Normal" xfId="0" builtinId="0"/>
    <cellStyle name="Normal 2" xfId="6"/>
    <cellStyle name="Normal 2 2" xfId="7"/>
    <cellStyle name="Normal 3" xfId="2"/>
    <cellStyle name="Normal 4" xfId="8"/>
    <cellStyle name="Percent" xfId="1" builtinId="5"/>
    <cellStyle name="Percent 2" xfId="9"/>
    <cellStyle name="Percent 3" xfId="10"/>
  </cellStyles>
  <dxfs count="12"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Sizing!$BH$14:$CG$14</c:f>
              <c:numCache>
                <c:formatCode>General</c:formatCode>
                <c:ptCount val="26"/>
                <c:pt idx="0">
                  <c:v>0</c:v>
                </c:pt>
                <c:pt idx="1">
                  <c:v>5.9999999999999995E-4</c:v>
                </c:pt>
                <c:pt idx="2">
                  <c:v>1.1999999999999999E-3</c:v>
                </c:pt>
                <c:pt idx="3">
                  <c:v>1.8E-3</c:v>
                </c:pt>
                <c:pt idx="4">
                  <c:v>2.3999999999999998E-3</c:v>
                </c:pt>
                <c:pt idx="5">
                  <c:v>2.9999999999999996E-3</c:v>
                </c:pt>
                <c:pt idx="6">
                  <c:v>3.5999999999999995E-3</c:v>
                </c:pt>
                <c:pt idx="7">
                  <c:v>4.1999999999999997E-3</c:v>
                </c:pt>
                <c:pt idx="8">
                  <c:v>4.7999999999999996E-3</c:v>
                </c:pt>
                <c:pt idx="9">
                  <c:v>5.3999999999999994E-3</c:v>
                </c:pt>
                <c:pt idx="10">
                  <c:v>5.9999999999999993E-3</c:v>
                </c:pt>
                <c:pt idx="11">
                  <c:v>6.5999999999999991E-3</c:v>
                </c:pt>
                <c:pt idx="12">
                  <c:v>7.1999999999999989E-3</c:v>
                </c:pt>
                <c:pt idx="13">
                  <c:v>7.7999999999999988E-3</c:v>
                </c:pt>
                <c:pt idx="14">
                  <c:v>8.3999999999999995E-3</c:v>
                </c:pt>
                <c:pt idx="15">
                  <c:v>8.9999999999999993E-3</c:v>
                </c:pt>
                <c:pt idx="16">
                  <c:v>9.5999999999999992E-3</c:v>
                </c:pt>
                <c:pt idx="17">
                  <c:v>1.0199999999999999E-2</c:v>
                </c:pt>
                <c:pt idx="18">
                  <c:v>1.0799999999999999E-2</c:v>
                </c:pt>
                <c:pt idx="19">
                  <c:v>1.1399999999999999E-2</c:v>
                </c:pt>
                <c:pt idx="20">
                  <c:v>1.1999999999999999E-2</c:v>
                </c:pt>
                <c:pt idx="21">
                  <c:v>1.2599999999999998E-2</c:v>
                </c:pt>
                <c:pt idx="22">
                  <c:v>1.3199999999999998E-2</c:v>
                </c:pt>
                <c:pt idx="23">
                  <c:v>1.3799999999999998E-2</c:v>
                </c:pt>
                <c:pt idx="24">
                  <c:v>1.4399999999999998E-2</c:v>
                </c:pt>
                <c:pt idx="25">
                  <c:v>1.4999999999999998E-2</c:v>
                </c:pt>
              </c:numCache>
            </c:numRef>
          </c:cat>
          <c:val>
            <c:numRef>
              <c:f>Sizing!$BH$35:$CG$35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041216"/>
        <c:axId val="366096048"/>
      </c:lineChart>
      <c:catAx>
        <c:axId val="367041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6096048"/>
        <c:crosses val="autoZero"/>
        <c:auto val="1"/>
        <c:lblAlgn val="ctr"/>
        <c:lblOffset val="100"/>
        <c:noMultiLvlLbl val="0"/>
      </c:catAx>
      <c:valAx>
        <c:axId val="366096048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36704121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Sizing!$BH$14:$CG$14</c:f>
              <c:numCache>
                <c:formatCode>General</c:formatCode>
                <c:ptCount val="26"/>
                <c:pt idx="0">
                  <c:v>0</c:v>
                </c:pt>
                <c:pt idx="1">
                  <c:v>5.9999999999999995E-4</c:v>
                </c:pt>
                <c:pt idx="2">
                  <c:v>1.1999999999999999E-3</c:v>
                </c:pt>
                <c:pt idx="3">
                  <c:v>1.8E-3</c:v>
                </c:pt>
                <c:pt idx="4">
                  <c:v>2.3999999999999998E-3</c:v>
                </c:pt>
                <c:pt idx="5">
                  <c:v>2.9999999999999996E-3</c:v>
                </c:pt>
                <c:pt idx="6">
                  <c:v>3.5999999999999995E-3</c:v>
                </c:pt>
                <c:pt idx="7">
                  <c:v>4.1999999999999997E-3</c:v>
                </c:pt>
                <c:pt idx="8">
                  <c:v>4.7999999999999996E-3</c:v>
                </c:pt>
                <c:pt idx="9">
                  <c:v>5.3999999999999994E-3</c:v>
                </c:pt>
                <c:pt idx="10">
                  <c:v>5.9999999999999993E-3</c:v>
                </c:pt>
                <c:pt idx="11">
                  <c:v>6.5999999999999991E-3</c:v>
                </c:pt>
                <c:pt idx="12">
                  <c:v>7.1999999999999989E-3</c:v>
                </c:pt>
                <c:pt idx="13">
                  <c:v>7.7999999999999988E-3</c:v>
                </c:pt>
                <c:pt idx="14">
                  <c:v>8.3999999999999995E-3</c:v>
                </c:pt>
                <c:pt idx="15">
                  <c:v>8.9999999999999993E-3</c:v>
                </c:pt>
                <c:pt idx="16">
                  <c:v>9.5999999999999992E-3</c:v>
                </c:pt>
                <c:pt idx="17">
                  <c:v>1.0199999999999999E-2</c:v>
                </c:pt>
                <c:pt idx="18">
                  <c:v>1.0799999999999999E-2</c:v>
                </c:pt>
                <c:pt idx="19">
                  <c:v>1.1399999999999999E-2</c:v>
                </c:pt>
                <c:pt idx="20">
                  <c:v>1.1999999999999999E-2</c:v>
                </c:pt>
                <c:pt idx="21">
                  <c:v>1.2599999999999998E-2</c:v>
                </c:pt>
                <c:pt idx="22">
                  <c:v>1.3199999999999998E-2</c:v>
                </c:pt>
                <c:pt idx="23">
                  <c:v>1.3799999999999998E-2</c:v>
                </c:pt>
                <c:pt idx="24">
                  <c:v>1.4399999999999998E-2</c:v>
                </c:pt>
                <c:pt idx="25">
                  <c:v>1.4999999999999998E-2</c:v>
                </c:pt>
              </c:numCache>
            </c:numRef>
          </c:cat>
          <c:val>
            <c:numRef>
              <c:f>Sizing!$BH$15:$CG$15</c:f>
              <c:numCache>
                <c:formatCode>General</c:formatCode>
                <c:ptCount val="26"/>
                <c:pt idx="0">
                  <c:v>0</c:v>
                </c:pt>
                <c:pt idx="1">
                  <c:v>5.3224342624480156E-3</c:v>
                </c:pt>
                <c:pt idx="2">
                  <c:v>4.0993659305326009E-2</c:v>
                </c:pt>
                <c:pt idx="3">
                  <c:v>0.12985458053249277</c:v>
                </c:pt>
                <c:pt idx="4">
                  <c:v>0.28158768313082122</c:v>
                </c:pt>
                <c:pt idx="5">
                  <c:v>0.49032171459381768</c:v>
                </c:pt>
                <c:pt idx="6">
                  <c:v>0.7360841541512797</c:v>
                </c:pt>
                <c:pt idx="7">
                  <c:v>0.98974214757321499</c:v>
                </c:pt>
                <c:pt idx="8">
                  <c:v>1.220209586088852</c:v>
                </c:pt>
                <c:pt idx="9">
                  <c:v>1.4021373943833901</c:v>
                </c:pt>
                <c:pt idx="10">
                  <c:v>1.5221845531650102</c:v>
                </c:pt>
                <c:pt idx="11">
                  <c:v>1.5823184891004833</c:v>
                </c:pt>
                <c:pt idx="12">
                  <c:v>1.5993283597428036</c:v>
                </c:pt>
                <c:pt idx="13">
                  <c:v>1.5993283597428036</c:v>
                </c:pt>
                <c:pt idx="14">
                  <c:v>1.5823184891004833</c:v>
                </c:pt>
                <c:pt idx="15">
                  <c:v>1.5221845531650104</c:v>
                </c:pt>
                <c:pt idx="16">
                  <c:v>1.4021373943833904</c:v>
                </c:pt>
                <c:pt idx="17">
                  <c:v>1.220209586088852</c:v>
                </c:pt>
                <c:pt idx="18">
                  <c:v>0.98974214757321544</c:v>
                </c:pt>
                <c:pt idx="19">
                  <c:v>0.73608415415128015</c:v>
                </c:pt>
                <c:pt idx="20">
                  <c:v>0.49032171459381813</c:v>
                </c:pt>
                <c:pt idx="21">
                  <c:v>0.28158768313082161</c:v>
                </c:pt>
                <c:pt idx="22">
                  <c:v>0.12985458053249302</c:v>
                </c:pt>
                <c:pt idx="23">
                  <c:v>4.099365930532612E-2</c:v>
                </c:pt>
                <c:pt idx="24">
                  <c:v>5.3224342624480581E-3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396456"/>
        <c:axId val="398396848"/>
      </c:lineChart>
      <c:catAx>
        <c:axId val="398396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8396848"/>
        <c:crosses val="autoZero"/>
        <c:auto val="1"/>
        <c:lblAlgn val="ctr"/>
        <c:lblOffset val="100"/>
        <c:noMultiLvlLbl val="0"/>
      </c:catAx>
      <c:valAx>
        <c:axId val="398396848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398396456"/>
        <c:crosses val="autoZero"/>
        <c:crossBetween val="between"/>
      </c:valAx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Sizing!$BH$14:$CG$14</c:f>
              <c:numCache>
                <c:formatCode>General</c:formatCode>
                <c:ptCount val="26"/>
                <c:pt idx="0">
                  <c:v>0</c:v>
                </c:pt>
                <c:pt idx="1">
                  <c:v>5.9999999999999995E-4</c:v>
                </c:pt>
                <c:pt idx="2">
                  <c:v>1.1999999999999999E-3</c:v>
                </c:pt>
                <c:pt idx="3">
                  <c:v>1.8E-3</c:v>
                </c:pt>
                <c:pt idx="4">
                  <c:v>2.3999999999999998E-3</c:v>
                </c:pt>
                <c:pt idx="5">
                  <c:v>2.9999999999999996E-3</c:v>
                </c:pt>
                <c:pt idx="6">
                  <c:v>3.5999999999999995E-3</c:v>
                </c:pt>
                <c:pt idx="7">
                  <c:v>4.1999999999999997E-3</c:v>
                </c:pt>
                <c:pt idx="8">
                  <c:v>4.7999999999999996E-3</c:v>
                </c:pt>
                <c:pt idx="9">
                  <c:v>5.3999999999999994E-3</c:v>
                </c:pt>
                <c:pt idx="10">
                  <c:v>5.9999999999999993E-3</c:v>
                </c:pt>
                <c:pt idx="11">
                  <c:v>6.5999999999999991E-3</c:v>
                </c:pt>
                <c:pt idx="12">
                  <c:v>7.1999999999999989E-3</c:v>
                </c:pt>
                <c:pt idx="13">
                  <c:v>7.7999999999999988E-3</c:v>
                </c:pt>
                <c:pt idx="14">
                  <c:v>8.3999999999999995E-3</c:v>
                </c:pt>
                <c:pt idx="15">
                  <c:v>8.9999999999999993E-3</c:v>
                </c:pt>
                <c:pt idx="16">
                  <c:v>9.5999999999999992E-3</c:v>
                </c:pt>
                <c:pt idx="17">
                  <c:v>1.0199999999999999E-2</c:v>
                </c:pt>
                <c:pt idx="18">
                  <c:v>1.0799999999999999E-2</c:v>
                </c:pt>
                <c:pt idx="19">
                  <c:v>1.1399999999999999E-2</c:v>
                </c:pt>
                <c:pt idx="20">
                  <c:v>1.1999999999999999E-2</c:v>
                </c:pt>
                <c:pt idx="21">
                  <c:v>1.2599999999999998E-2</c:v>
                </c:pt>
                <c:pt idx="22">
                  <c:v>1.3199999999999998E-2</c:v>
                </c:pt>
                <c:pt idx="23">
                  <c:v>1.3799999999999998E-2</c:v>
                </c:pt>
                <c:pt idx="24">
                  <c:v>1.4399999999999998E-2</c:v>
                </c:pt>
                <c:pt idx="25">
                  <c:v>1.4999999999999998E-2</c:v>
                </c:pt>
              </c:numCache>
            </c:numRef>
          </c:cat>
          <c:val>
            <c:numRef>
              <c:f>Sizing!$BH$25:$CG$25</c:f>
              <c:numCache>
                <c:formatCode>General</c:formatCode>
                <c:ptCount val="26"/>
                <c:pt idx="0">
                  <c:v>0</c:v>
                </c:pt>
                <c:pt idx="1">
                  <c:v>-5.3224342624480156E-3</c:v>
                </c:pt>
                <c:pt idx="2">
                  <c:v>-4.0993659305326009E-2</c:v>
                </c:pt>
                <c:pt idx="3">
                  <c:v>-0.12985458053249277</c:v>
                </c:pt>
                <c:pt idx="4">
                  <c:v>-0.28158768313082122</c:v>
                </c:pt>
                <c:pt idx="5">
                  <c:v>-0.49032171459381768</c:v>
                </c:pt>
                <c:pt idx="6">
                  <c:v>-0.7360841541512797</c:v>
                </c:pt>
                <c:pt idx="7">
                  <c:v>-0.98974214757321499</c:v>
                </c:pt>
                <c:pt idx="8">
                  <c:v>-1.220209586088852</c:v>
                </c:pt>
                <c:pt idx="9">
                  <c:v>-1.4021373943833901</c:v>
                </c:pt>
                <c:pt idx="10">
                  <c:v>-1.5221845531650102</c:v>
                </c:pt>
                <c:pt idx="11">
                  <c:v>-1.5823184891004833</c:v>
                </c:pt>
                <c:pt idx="12">
                  <c:v>-1.5993283597428036</c:v>
                </c:pt>
                <c:pt idx="13">
                  <c:v>-1.5993283597428036</c:v>
                </c:pt>
                <c:pt idx="14">
                  <c:v>-1.5823184891004833</c:v>
                </c:pt>
                <c:pt idx="15">
                  <c:v>-1.5221845531650104</c:v>
                </c:pt>
                <c:pt idx="16">
                  <c:v>-1.4021373943833904</c:v>
                </c:pt>
                <c:pt idx="17">
                  <c:v>-1.220209586088852</c:v>
                </c:pt>
                <c:pt idx="18">
                  <c:v>-0.98974214757321544</c:v>
                </c:pt>
                <c:pt idx="19">
                  <c:v>-0.73608415415128015</c:v>
                </c:pt>
                <c:pt idx="20">
                  <c:v>-0.49032171459381813</c:v>
                </c:pt>
                <c:pt idx="21">
                  <c:v>-0.28158768313082161</c:v>
                </c:pt>
                <c:pt idx="22">
                  <c:v>-0.12985458053249302</c:v>
                </c:pt>
                <c:pt idx="23">
                  <c:v>-4.099365930532612E-2</c:v>
                </c:pt>
                <c:pt idx="24">
                  <c:v>-5.3224342624480581E-3</c:v>
                </c:pt>
                <c:pt idx="2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397632"/>
        <c:axId val="398398024"/>
      </c:lineChart>
      <c:catAx>
        <c:axId val="39839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8398024"/>
        <c:crosses val="autoZero"/>
        <c:auto val="1"/>
        <c:lblAlgn val="ctr"/>
        <c:lblOffset val="100"/>
        <c:noMultiLvlLbl val="0"/>
      </c:catAx>
      <c:valAx>
        <c:axId val="398398024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398397632"/>
        <c:crosses val="autoZero"/>
        <c:crossBetween val="between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37</xdr:row>
      <xdr:rowOff>85725</xdr:rowOff>
    </xdr:from>
    <xdr:to>
      <xdr:col>54</xdr:col>
      <xdr:colOff>104775</xdr:colOff>
      <xdr:row>45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9524</xdr:colOff>
      <xdr:row>23</xdr:row>
      <xdr:rowOff>9526</xdr:rowOff>
    </xdr:from>
    <xdr:to>
      <xdr:col>54</xdr:col>
      <xdr:colOff>114299</xdr:colOff>
      <xdr:row>30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44</xdr:col>
      <xdr:colOff>0</xdr:colOff>
      <xdr:row>30</xdr:row>
      <xdr:rowOff>47624</xdr:rowOff>
    </xdr:from>
    <xdr:to>
      <xdr:col>54</xdr:col>
      <xdr:colOff>104775</xdr:colOff>
      <xdr:row>37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mart%203.0%20V4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~2/FASTEX~1/FastExcelV2.x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hamberlain/Sm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 1 Define System"/>
      <sheetName val="Step 2 Define Moves"/>
      <sheetName val="Step 3 Define Profile"/>
      <sheetName val="Values"/>
      <sheetName val="Convert"/>
      <sheetName val="Calculate"/>
    </sheetNames>
    <sheetDataSet>
      <sheetData sheetId="0">
        <row r="44">
          <cell r="Q44" t="str">
            <v>Sinusoidal</v>
          </cell>
        </row>
      </sheetData>
      <sheetData sheetId="1">
        <row r="26">
          <cell r="AJ26">
            <v>0</v>
          </cell>
        </row>
        <row r="27">
          <cell r="AJ27">
            <v>2.3522058496228833E-3</v>
          </cell>
        </row>
        <row r="28">
          <cell r="AJ28">
            <v>1.81168090502794E-2</v>
          </cell>
        </row>
        <row r="29">
          <cell r="AJ29">
            <v>5.7388159039162681E-2</v>
          </cell>
        </row>
        <row r="30">
          <cell r="AJ30">
            <v>0.12444535015025784</v>
          </cell>
        </row>
        <row r="31">
          <cell r="AJ31">
            <v>0.21669363084518969</v>
          </cell>
        </row>
        <row r="32">
          <cell r="AJ32">
            <v>0.32530631057770881</v>
          </cell>
        </row>
        <row r="33">
          <cell r="AJ33">
            <v>0.43740836510947328</v>
          </cell>
        </row>
        <row r="34">
          <cell r="AJ34">
            <v>0.53926154549516114</v>
          </cell>
        </row>
        <row r="35">
          <cell r="AJ35">
            <v>0.61966303732733252</v>
          </cell>
        </row>
        <row r="36">
          <cell r="AJ36">
            <v>0.67271688735024615</v>
          </cell>
        </row>
        <row r="37">
          <cell r="AJ37">
            <v>0.69929258352487766</v>
          </cell>
        </row>
        <row r="38">
          <cell r="AJ38">
            <v>0.7068099553238093</v>
          </cell>
        </row>
        <row r="39">
          <cell r="AJ39">
            <v>0.7068099553238093</v>
          </cell>
        </row>
        <row r="40">
          <cell r="AJ40">
            <v>0.69929258352487766</v>
          </cell>
        </row>
        <row r="41">
          <cell r="AJ41">
            <v>0.67271688735024593</v>
          </cell>
        </row>
        <row r="42">
          <cell r="AJ42">
            <v>0.61966303732733219</v>
          </cell>
        </row>
        <row r="43">
          <cell r="AJ43">
            <v>0.53926154549516081</v>
          </cell>
        </row>
        <row r="44">
          <cell r="AJ44">
            <v>0.43740836510947295</v>
          </cell>
        </row>
        <row r="45">
          <cell r="AJ45">
            <v>0.32530631057770865</v>
          </cell>
        </row>
        <row r="46">
          <cell r="AJ46">
            <v>0.21669363084518956</v>
          </cell>
        </row>
        <row r="47">
          <cell r="AJ47">
            <v>0.12444535015025764</v>
          </cell>
        </row>
        <row r="48">
          <cell r="AJ48">
            <v>5.7388159039162515E-2</v>
          </cell>
        </row>
        <row r="49">
          <cell r="AJ49">
            <v>1.8116809050279299E-2</v>
          </cell>
        </row>
        <row r="50">
          <cell r="AJ50">
            <v>2.3522058496228647E-3</v>
          </cell>
        </row>
        <row r="51">
          <cell r="AJ51">
            <v>0</v>
          </cell>
        </row>
      </sheetData>
      <sheetData sheetId="2"/>
      <sheetData sheetId="3"/>
      <sheetData sheetId="4">
        <row r="4">
          <cell r="H4" t="str">
            <v>cm</v>
          </cell>
          <cell r="L4" t="str">
            <v>g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gValidChars"/>
      <sheetName val="LanguageSheet"/>
      <sheetName val="FastXlTemPlate"/>
      <sheetName val="FastXlTemPlateFR"/>
      <sheetName val="LocaleIDs"/>
      <sheetName val="fxlMessages"/>
      <sheetName val="FastExcelV2"/>
    </sheetNames>
    <definedNames>
      <definedName name="COUNTCONTIGROWS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tXL"/>
      <sheetName val="Smart"/>
    </sheetNames>
    <definedNames>
      <definedName name="COUNTCONTIGROWS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I107"/>
  <sheetViews>
    <sheetView showGridLines="0" showRowColHeaders="0" tabSelected="1" zoomScale="174" zoomScaleNormal="174" workbookViewId="0">
      <selection activeCell="H15" sqref="H15:J17"/>
    </sheetView>
  </sheetViews>
  <sheetFormatPr defaultRowHeight="11.25"/>
  <cols>
    <col min="1" max="1" width="0.85546875" style="230" customWidth="1"/>
    <col min="2" max="6" width="1.7109375" style="230" customWidth="1"/>
    <col min="7" max="7" width="2" style="230" customWidth="1"/>
    <col min="8" max="55" width="1.7109375" style="230" customWidth="1"/>
    <col min="56" max="56" width="0.85546875" style="248" customWidth="1"/>
    <col min="57" max="57" width="4.7109375" style="250" customWidth="1"/>
    <col min="58" max="69" width="0.140625" style="229" customWidth="1"/>
    <col min="70" max="82" width="0.140625" style="7" customWidth="1"/>
    <col min="83" max="85" width="0.140625" style="229" customWidth="1"/>
    <col min="86" max="86" width="8.7109375" style="251" customWidth="1"/>
    <col min="87" max="87" width="8.7109375" style="248" customWidth="1"/>
    <col min="88" max="16384" width="9.140625" style="230"/>
  </cols>
  <sheetData>
    <row r="1" spans="1:85" ht="4.5" customHeight="1" thickBot="1">
      <c r="A1" s="412" t="s">
        <v>136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</row>
    <row r="2" spans="1:85" ht="7.5" customHeight="1" thickBot="1">
      <c r="A2" s="412"/>
      <c r="B2" s="257" t="s">
        <v>266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  <c r="N2" s="231"/>
      <c r="O2" s="232"/>
      <c r="P2" s="274" t="s">
        <v>166</v>
      </c>
      <c r="Q2" s="274"/>
      <c r="R2" s="274"/>
      <c r="S2" s="274"/>
      <c r="T2" s="274"/>
      <c r="U2" s="274"/>
      <c r="V2" s="274"/>
      <c r="W2" s="274"/>
      <c r="X2" s="274"/>
      <c r="Y2" s="274"/>
      <c r="Z2" s="283" t="s">
        <v>113</v>
      </c>
      <c r="AA2" s="283"/>
      <c r="AB2" s="283"/>
      <c r="AC2" s="283"/>
      <c r="AD2" s="283"/>
      <c r="AE2" s="283"/>
      <c r="AF2" s="274" t="str">
        <f>'Spec Sheet'!W22</f>
        <v>S350D-100st</v>
      </c>
      <c r="AG2" s="274"/>
      <c r="AH2" s="274"/>
      <c r="AI2" s="274"/>
      <c r="AJ2" s="274"/>
      <c r="AK2" s="274"/>
      <c r="AL2" s="274"/>
      <c r="AM2" s="274"/>
      <c r="AN2" s="274" t="str">
        <f>'Spec Sheet'!X22</f>
        <v>S427D-100st</v>
      </c>
      <c r="AO2" s="274"/>
      <c r="AP2" s="274"/>
      <c r="AQ2" s="274"/>
      <c r="AR2" s="274"/>
      <c r="AS2" s="274"/>
      <c r="AT2" s="274"/>
      <c r="AU2" s="274"/>
      <c r="AV2" s="274" t="str">
        <f>'Spec Sheet'!Y22</f>
        <v>S427D-100st</v>
      </c>
      <c r="AW2" s="274"/>
      <c r="AX2" s="274"/>
      <c r="AY2" s="274"/>
      <c r="AZ2" s="274"/>
      <c r="BA2" s="274"/>
      <c r="BB2" s="274"/>
      <c r="BC2" s="274"/>
      <c r="BD2" s="431"/>
      <c r="BE2" s="252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CA2" s="229"/>
      <c r="CB2" s="229"/>
      <c r="CC2" s="229"/>
      <c r="CD2" s="229"/>
    </row>
    <row r="3" spans="1:85" ht="7.5" customHeight="1" thickBot="1">
      <c r="A3" s="412"/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2"/>
      <c r="N3" s="233"/>
      <c r="O3" s="23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83"/>
      <c r="AA3" s="283"/>
      <c r="AB3" s="283"/>
      <c r="AC3" s="283"/>
      <c r="AD3" s="283"/>
      <c r="AE3" s="283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431"/>
      <c r="BE3" s="252"/>
      <c r="BF3" s="7"/>
      <c r="BK3" s="281" t="s">
        <v>98</v>
      </c>
      <c r="BL3" s="281"/>
      <c r="BO3" s="247"/>
      <c r="BP3" s="247"/>
      <c r="BQ3" s="247"/>
      <c r="BR3" s="247"/>
      <c r="CA3" s="229"/>
      <c r="CB3" s="229"/>
      <c r="CC3" s="229"/>
      <c r="CD3" s="229"/>
    </row>
    <row r="4" spans="1:85" ht="7.5" customHeight="1" thickBot="1">
      <c r="A4" s="412"/>
      <c r="B4" s="263" t="s">
        <v>274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5"/>
      <c r="N4" s="233"/>
      <c r="O4" s="234"/>
      <c r="P4" s="279" t="s">
        <v>165</v>
      </c>
      <c r="Q4" s="280"/>
      <c r="R4" s="280"/>
      <c r="S4" s="280"/>
      <c r="T4" s="280"/>
      <c r="U4" s="278" t="str">
        <f>IF(H9=0,"Horizontal",IF(H9=90,"Vertical",H9&amp;"° angle"))</f>
        <v>Horizontal</v>
      </c>
      <c r="V4" s="278"/>
      <c r="W4" s="278"/>
      <c r="X4" s="278"/>
      <c r="Y4" s="278"/>
      <c r="Z4" s="276" t="s">
        <v>164</v>
      </c>
      <c r="AA4" s="276"/>
      <c r="AB4" s="276"/>
      <c r="AC4" s="276"/>
      <c r="AD4" s="276"/>
      <c r="AE4" s="276"/>
      <c r="AF4" s="274">
        <f>'Spec Sheet'!W23</f>
        <v>1.3</v>
      </c>
      <c r="AG4" s="274"/>
      <c r="AH4" s="274"/>
      <c r="AI4" s="274"/>
      <c r="AJ4" s="274"/>
      <c r="AK4" s="274"/>
      <c r="AL4" s="274"/>
      <c r="AM4" s="274"/>
      <c r="AN4" s="274">
        <f>'Spec Sheet'!X23</f>
        <v>3</v>
      </c>
      <c r="AO4" s="274"/>
      <c r="AP4" s="274"/>
      <c r="AQ4" s="274"/>
      <c r="AR4" s="274"/>
      <c r="AS4" s="274"/>
      <c r="AT4" s="274"/>
      <c r="AU4" s="274"/>
      <c r="AV4" s="274">
        <f>'Spec Sheet'!Y23</f>
        <v>3</v>
      </c>
      <c r="AW4" s="274"/>
      <c r="AX4" s="274"/>
      <c r="AY4" s="274"/>
      <c r="AZ4" s="274"/>
      <c r="BA4" s="274"/>
      <c r="BB4" s="274"/>
      <c r="BC4" s="274"/>
      <c r="BD4" s="431"/>
      <c r="BE4" s="252"/>
      <c r="BF4" s="7"/>
      <c r="BG4" s="229" t="s">
        <v>151</v>
      </c>
      <c r="BH4" s="229" t="s">
        <v>149</v>
      </c>
      <c r="BI4" s="229" t="s">
        <v>150</v>
      </c>
      <c r="BJ4" s="229" t="s">
        <v>257</v>
      </c>
      <c r="BK4" s="229" t="s">
        <v>152</v>
      </c>
      <c r="BL4" s="229" t="s">
        <v>153</v>
      </c>
      <c r="BM4" s="7" t="s">
        <v>154</v>
      </c>
      <c r="BQ4" s="229">
        <v>0.5</v>
      </c>
      <c r="CA4" s="229"/>
      <c r="CB4" s="229"/>
      <c r="CC4" s="229"/>
      <c r="CD4" s="229"/>
    </row>
    <row r="5" spans="1:85" ht="7.5" customHeight="1" thickBot="1">
      <c r="A5" s="412"/>
      <c r="B5" s="263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5"/>
      <c r="N5" s="233"/>
      <c r="O5" s="234"/>
      <c r="P5" s="279"/>
      <c r="Q5" s="280"/>
      <c r="R5" s="280"/>
      <c r="S5" s="280"/>
      <c r="T5" s="280"/>
      <c r="U5" s="278"/>
      <c r="V5" s="278"/>
      <c r="W5" s="278"/>
      <c r="X5" s="278"/>
      <c r="Y5" s="278"/>
      <c r="Z5" s="276"/>
      <c r="AA5" s="276"/>
      <c r="AB5" s="276"/>
      <c r="AC5" s="276"/>
      <c r="AD5" s="276"/>
      <c r="AE5" s="276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431"/>
      <c r="BE5" s="252"/>
      <c r="BF5" s="7">
        <v>1</v>
      </c>
      <c r="BG5" s="229">
        <f>($BN$22/25)</f>
        <v>5.9999999999999995E-4</v>
      </c>
      <c r="BH5" s="229">
        <f>SUM(BH17:CF17)</f>
        <v>1016.8704216385966</v>
      </c>
      <c r="BI5" s="229">
        <f>IF(ABS(LARGE(BH16:CF16,1))&gt;ABS(SMALL(BH16:CF16,1)),ABS(LARGE(BH16:CF16,1)),ABS(SMALL(BH16:CF16,1)))</f>
        <v>422.76332236989219</v>
      </c>
      <c r="BJ5" s="229">
        <f>IF(BI22&gt;BH22,BM22,$BK$22)</f>
        <v>7.4999999999999989E-3</v>
      </c>
      <c r="BK5" s="7">
        <f>ROUND(ABS(SMALL(BH18:CF18,1)),3)</f>
        <v>0</v>
      </c>
      <c r="BL5" s="7">
        <f>ROUND(LARGE(BH18:CF18,1),3)</f>
        <v>1.2E-2</v>
      </c>
      <c r="BM5" s="7">
        <f>IF(ABS(LARGE(BH15:CF15,1))&gt;ABS(SMALL(BH15:CF15,1)),ABS(LARGE(BH15:CF15,1)),ABS(SMALL(BH15:CF15,1)))</f>
        <v>1.5993283597428036</v>
      </c>
      <c r="BQ5" s="229">
        <v>0.4</v>
      </c>
      <c r="CA5" s="229"/>
      <c r="CB5" s="229"/>
      <c r="CC5" s="229"/>
      <c r="CD5" s="229"/>
    </row>
    <row r="6" spans="1:85" ht="7.5" customHeight="1" thickBot="1">
      <c r="A6" s="412"/>
      <c r="B6" s="413" t="s">
        <v>118</v>
      </c>
      <c r="C6" s="414"/>
      <c r="D6" s="414"/>
      <c r="E6" s="415"/>
      <c r="F6" s="422" t="s">
        <v>265</v>
      </c>
      <c r="G6" s="423"/>
      <c r="H6" s="426">
        <v>0.04</v>
      </c>
      <c r="I6" s="427"/>
      <c r="J6" s="428"/>
      <c r="K6" s="423" t="s">
        <v>0</v>
      </c>
      <c r="L6" s="423"/>
      <c r="M6" s="429"/>
      <c r="N6" s="233"/>
      <c r="O6" s="234"/>
      <c r="P6" s="279" t="s">
        <v>98</v>
      </c>
      <c r="Q6" s="280"/>
      <c r="R6" s="280"/>
      <c r="S6" s="280"/>
      <c r="T6" s="280"/>
      <c r="U6" s="278">
        <f>BL12*1000</f>
        <v>12</v>
      </c>
      <c r="V6" s="278"/>
      <c r="W6" s="278"/>
      <c r="X6" s="275" t="s">
        <v>13</v>
      </c>
      <c r="Y6" s="275"/>
      <c r="Z6" s="276" t="s">
        <v>124</v>
      </c>
      <c r="AA6" s="276"/>
      <c r="AB6" s="276"/>
      <c r="AC6" s="276"/>
      <c r="AD6" s="276"/>
      <c r="AE6" s="276"/>
      <c r="AF6" s="274">
        <f>'Spec Sheet'!W24</f>
        <v>43</v>
      </c>
      <c r="AG6" s="274"/>
      <c r="AH6" s="274"/>
      <c r="AI6" s="274"/>
      <c r="AJ6" s="274"/>
      <c r="AK6" s="274"/>
      <c r="AL6" s="274"/>
      <c r="AM6" s="274"/>
      <c r="AN6" s="274">
        <f>'Spec Sheet'!X24</f>
        <v>71</v>
      </c>
      <c r="AO6" s="274"/>
      <c r="AP6" s="274"/>
      <c r="AQ6" s="274"/>
      <c r="AR6" s="274"/>
      <c r="AS6" s="274"/>
      <c r="AT6" s="274"/>
      <c r="AU6" s="274"/>
      <c r="AV6" s="274">
        <f>'Spec Sheet'!Y24</f>
        <v>71</v>
      </c>
      <c r="AW6" s="274"/>
      <c r="AX6" s="274"/>
      <c r="AY6" s="274"/>
      <c r="AZ6" s="274"/>
      <c r="BA6" s="274"/>
      <c r="BB6" s="274"/>
      <c r="BC6" s="274"/>
      <c r="BD6" s="431"/>
      <c r="BE6" s="252"/>
      <c r="BF6" s="7"/>
      <c r="BG6" s="7"/>
      <c r="BH6" s="7"/>
      <c r="BI6" s="229">
        <f>IF($E$27,LARGE(BH22:BI22,1),0)</f>
        <v>426.66666666666674</v>
      </c>
      <c r="BJ6" s="229">
        <f>IF(BI22&gt;BH22,BM22,$BK$22)</f>
        <v>7.4999999999999989E-3</v>
      </c>
      <c r="BR6" s="247"/>
      <c r="CA6" s="229"/>
      <c r="CB6" s="229"/>
      <c r="CC6" s="229"/>
      <c r="CD6" s="229"/>
    </row>
    <row r="7" spans="1:85" ht="7.5" customHeight="1" thickBot="1">
      <c r="A7" s="412"/>
      <c r="B7" s="416"/>
      <c r="C7" s="417"/>
      <c r="D7" s="417"/>
      <c r="E7" s="418"/>
      <c r="F7" s="424"/>
      <c r="G7" s="402"/>
      <c r="H7" s="394"/>
      <c r="I7" s="395"/>
      <c r="J7" s="396"/>
      <c r="K7" s="402"/>
      <c r="L7" s="402"/>
      <c r="M7" s="403"/>
      <c r="N7" s="233"/>
      <c r="O7" s="234"/>
      <c r="P7" s="279"/>
      <c r="Q7" s="280"/>
      <c r="R7" s="280"/>
      <c r="S7" s="280"/>
      <c r="T7" s="280"/>
      <c r="U7" s="278"/>
      <c r="V7" s="278"/>
      <c r="W7" s="278"/>
      <c r="X7" s="275"/>
      <c r="Y7" s="275"/>
      <c r="Z7" s="276"/>
      <c r="AA7" s="276"/>
      <c r="AB7" s="276"/>
      <c r="AC7" s="276"/>
      <c r="AD7" s="276"/>
      <c r="AE7" s="276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431"/>
      <c r="BE7" s="252"/>
      <c r="BF7" s="7">
        <v>2</v>
      </c>
      <c r="BG7" s="229">
        <f>($BN$32/25)</f>
        <v>5.9999999999999995E-4</v>
      </c>
      <c r="BH7" s="229">
        <f>SUM(BH27:CF27)</f>
        <v>1016.8704216385966</v>
      </c>
      <c r="BI7" s="229">
        <f>IF(ABS(LARGE(BH26:CF26,1))&gt;ABS(SMALL(BH26:CF26,1)),ABS(LARGE(BH26:CF26,1)),ABS(SMALL(BH26:CF26,1)))</f>
        <v>422.76332236989219</v>
      </c>
      <c r="BJ7" s="229">
        <f>IF(BI32&gt;BH32,BM32,$BK$32)</f>
        <v>7.4999999999999989E-3</v>
      </c>
      <c r="BK7" s="7">
        <f>ROUND(ABS(IF(SMALL(BH28:CF28,1)=LARGE(BH28:CF28,1),0,SMALL(BH28:CF28,1))),3)</f>
        <v>0</v>
      </c>
      <c r="BL7" s="7">
        <f>ROUND(LARGE(BH28:CF28,1),3)</f>
        <v>1.2E-2</v>
      </c>
      <c r="BM7" s="7">
        <f>IF(ABS(LARGE(BH25:CF25,1))&gt;ABS(SMALL(BH25:CF25,1)),ABS(LARGE(BH25:CF25,1)),ABS(SMALL(BH25:CF25,1)))</f>
        <v>1.5993283597428036</v>
      </c>
      <c r="BO7" s="247"/>
      <c r="BP7" s="247">
        <f>BQ4/BQ7</f>
        <v>0.4</v>
      </c>
      <c r="BQ7" s="247">
        <f>BQ4/BQ5</f>
        <v>1.25</v>
      </c>
      <c r="BR7" s="247"/>
      <c r="BS7" s="7">
        <f>BU21*BK22</f>
        <v>1.1999999999999999E-2</v>
      </c>
      <c r="CE7" s="7"/>
      <c r="CF7" s="7"/>
    </row>
    <row r="8" spans="1:85" ht="7.5" customHeight="1" thickBot="1">
      <c r="A8" s="412"/>
      <c r="B8" s="419"/>
      <c r="C8" s="420"/>
      <c r="D8" s="420"/>
      <c r="E8" s="421"/>
      <c r="F8" s="425"/>
      <c r="G8" s="406"/>
      <c r="H8" s="394"/>
      <c r="I8" s="395"/>
      <c r="J8" s="396"/>
      <c r="K8" s="406"/>
      <c r="L8" s="406"/>
      <c r="M8" s="407"/>
      <c r="N8" s="233"/>
      <c r="O8" s="234"/>
      <c r="P8" s="279" t="s">
        <v>145</v>
      </c>
      <c r="Q8" s="280"/>
      <c r="R8" s="280"/>
      <c r="S8" s="280"/>
      <c r="T8" s="280"/>
      <c r="U8" s="278">
        <f>'Spec Sheet'!L27</f>
        <v>0.1</v>
      </c>
      <c r="V8" s="278"/>
      <c r="W8" s="278"/>
      <c r="X8" s="275"/>
      <c r="Y8" s="275"/>
      <c r="Z8" s="276" t="s">
        <v>120</v>
      </c>
      <c r="AA8" s="276"/>
      <c r="AB8" s="276"/>
      <c r="AC8" s="276"/>
      <c r="AD8" s="276"/>
      <c r="AE8" s="276"/>
      <c r="AF8" s="274">
        <f>'Spec Sheet'!W25</f>
        <v>36</v>
      </c>
      <c r="AG8" s="274"/>
      <c r="AH8" s="274"/>
      <c r="AI8" s="274"/>
      <c r="AJ8" s="274"/>
      <c r="AK8" s="274"/>
      <c r="AL8" s="274"/>
      <c r="AM8" s="274"/>
      <c r="AN8" s="274">
        <f>'Spec Sheet'!X25</f>
        <v>54</v>
      </c>
      <c r="AO8" s="274"/>
      <c r="AP8" s="274"/>
      <c r="AQ8" s="274"/>
      <c r="AR8" s="274"/>
      <c r="AS8" s="274"/>
      <c r="AT8" s="274"/>
      <c r="AU8" s="274"/>
      <c r="AV8" s="274">
        <f>'Spec Sheet'!Y25</f>
        <v>54</v>
      </c>
      <c r="AW8" s="274"/>
      <c r="AX8" s="274"/>
      <c r="AY8" s="274"/>
      <c r="AZ8" s="274"/>
      <c r="BA8" s="274"/>
      <c r="BB8" s="274"/>
      <c r="BC8" s="274"/>
      <c r="BD8" s="431"/>
      <c r="BE8" s="252"/>
      <c r="BF8" s="7"/>
      <c r="BG8" s="7"/>
      <c r="BH8" s="7"/>
      <c r="BI8" s="7">
        <f>IF($E$30,LARGE(BH32:BI32,1),0)</f>
        <v>426.66666666666674</v>
      </c>
      <c r="BJ8" s="229">
        <f>IF(BI32&gt;BH32,BM32,$BK$32)</f>
        <v>7.4999999999999989E-3</v>
      </c>
      <c r="BK8" s="7"/>
      <c r="BL8" s="7"/>
      <c r="BM8" s="7"/>
      <c r="BR8" s="247"/>
      <c r="CE8" s="7"/>
      <c r="CF8" s="7"/>
    </row>
    <row r="9" spans="1:85" ht="7.5" customHeight="1" thickBot="1">
      <c r="A9" s="412"/>
      <c r="B9" s="376" t="s">
        <v>11</v>
      </c>
      <c r="C9" s="377"/>
      <c r="D9" s="377"/>
      <c r="E9" s="377"/>
      <c r="F9" s="430" t="s">
        <v>1</v>
      </c>
      <c r="G9" s="400"/>
      <c r="H9" s="391">
        <v>0</v>
      </c>
      <c r="I9" s="392"/>
      <c r="J9" s="393"/>
      <c r="K9" s="400" t="s">
        <v>2</v>
      </c>
      <c r="L9" s="400"/>
      <c r="M9" s="401"/>
      <c r="N9" s="233"/>
      <c r="O9" s="234"/>
      <c r="P9" s="279"/>
      <c r="Q9" s="280"/>
      <c r="R9" s="280"/>
      <c r="S9" s="280"/>
      <c r="T9" s="280"/>
      <c r="U9" s="278"/>
      <c r="V9" s="278"/>
      <c r="W9" s="278"/>
      <c r="X9" s="275"/>
      <c r="Y9" s="275"/>
      <c r="Z9" s="276"/>
      <c r="AA9" s="276"/>
      <c r="AB9" s="276"/>
      <c r="AC9" s="276"/>
      <c r="AD9" s="276"/>
      <c r="AE9" s="276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431"/>
      <c r="BE9" s="252"/>
      <c r="BF9" s="7">
        <v>3</v>
      </c>
      <c r="BG9" s="7">
        <f>($BN$42/25)</f>
        <v>0</v>
      </c>
      <c r="BH9" s="229">
        <f>SUM(BH37:CF37)</f>
        <v>0</v>
      </c>
      <c r="BI9" s="229">
        <f>IF(ABS(LARGE(BH36:CF36,1))&gt;ABS(SMALL(BH36:CF36,1)),ABS(LARGE(BH36:CF36,1)),ABS(SMALL(BH36:CF36,1)))</f>
        <v>0</v>
      </c>
      <c r="BJ9" s="229">
        <f>IF(BI42&gt;BH42,BM42,$BK$42)</f>
        <v>0</v>
      </c>
      <c r="BK9" s="7">
        <f>ROUND(ABS(IF(SMALL(BH38:CF38,1)=LARGE(BH38:CF38,1),0,SMALL(BH38:CF38,1))),3)</f>
        <v>0</v>
      </c>
      <c r="BL9" s="7">
        <f>ROUND(LARGE(BH38:CF38,1),3)</f>
        <v>0</v>
      </c>
      <c r="BM9" s="7">
        <f>IF(ABS(LARGE(BH35:CF35,1))&gt;ABS(SMALL(BH35:CF35,1)),ABS(LARGE(BH35:CF35,1)),ABS(SMALL(BH35:CF35,1)))</f>
        <v>0</v>
      </c>
      <c r="BR9" s="247"/>
      <c r="CA9" s="229"/>
      <c r="CB9" s="229"/>
      <c r="CC9" s="229"/>
      <c r="CD9" s="229"/>
    </row>
    <row r="10" spans="1:85" ht="7.5" customHeight="1" thickBot="1">
      <c r="A10" s="412"/>
      <c r="B10" s="376"/>
      <c r="C10" s="377"/>
      <c r="D10" s="377"/>
      <c r="E10" s="377"/>
      <c r="F10" s="424"/>
      <c r="G10" s="402"/>
      <c r="H10" s="394"/>
      <c r="I10" s="395"/>
      <c r="J10" s="396"/>
      <c r="K10" s="402"/>
      <c r="L10" s="402"/>
      <c r="M10" s="403"/>
      <c r="N10" s="233"/>
      <c r="O10" s="234"/>
      <c r="P10" s="279" t="s">
        <v>237</v>
      </c>
      <c r="Q10" s="280"/>
      <c r="R10" s="280"/>
      <c r="S10" s="280"/>
      <c r="T10" s="280"/>
      <c r="U10" s="278">
        <f>'Spec Sheet'!L28</f>
        <v>0</v>
      </c>
      <c r="V10" s="278"/>
      <c r="W10" s="278"/>
      <c r="X10" s="275" t="s">
        <v>227</v>
      </c>
      <c r="Y10" s="275"/>
      <c r="Z10" s="276" t="s">
        <v>122</v>
      </c>
      <c r="AA10" s="276"/>
      <c r="AB10" s="276"/>
      <c r="AC10" s="276"/>
      <c r="AD10" s="276"/>
      <c r="AE10" s="276"/>
      <c r="AF10" s="274">
        <f>'Spec Sheet'!W26</f>
        <v>577</v>
      </c>
      <c r="AG10" s="274"/>
      <c r="AH10" s="274"/>
      <c r="AI10" s="274"/>
      <c r="AJ10" s="274"/>
      <c r="AK10" s="274"/>
      <c r="AL10" s="274"/>
      <c r="AM10" s="274"/>
      <c r="AN10" s="274">
        <f>'Spec Sheet'!X26</f>
        <v>1304</v>
      </c>
      <c r="AO10" s="274"/>
      <c r="AP10" s="274"/>
      <c r="AQ10" s="274"/>
      <c r="AR10" s="274"/>
      <c r="AS10" s="274"/>
      <c r="AT10" s="274"/>
      <c r="AU10" s="274"/>
      <c r="AV10" s="274">
        <f>'Spec Sheet'!Y26</f>
        <v>1304</v>
      </c>
      <c r="AW10" s="274"/>
      <c r="AX10" s="274"/>
      <c r="AY10" s="274"/>
      <c r="AZ10" s="274"/>
      <c r="BA10" s="274"/>
      <c r="BB10" s="274"/>
      <c r="BC10" s="274"/>
      <c r="BD10" s="431"/>
      <c r="BE10" s="252"/>
      <c r="BF10" s="7"/>
      <c r="BG10" s="7"/>
      <c r="BH10" s="7"/>
      <c r="BI10" s="7">
        <f>IF($E$33,LARGE(BH42:BI42,1),0)</f>
        <v>0</v>
      </c>
      <c r="BJ10" s="229">
        <f>IF(BI42&gt;BH42,BM42,$BK$42)</f>
        <v>0</v>
      </c>
      <c r="BK10" s="7"/>
      <c r="BL10" s="7"/>
      <c r="BO10" s="247"/>
      <c r="BP10" s="247"/>
      <c r="BQ10" s="247"/>
      <c r="BR10" s="247"/>
      <c r="CA10" s="229"/>
      <c r="CB10" s="229"/>
      <c r="CC10" s="229"/>
      <c r="CD10" s="229"/>
    </row>
    <row r="11" spans="1:85" ht="7.5" customHeight="1" thickBot="1">
      <c r="A11" s="412"/>
      <c r="B11" s="376"/>
      <c r="C11" s="377"/>
      <c r="D11" s="377"/>
      <c r="E11" s="377"/>
      <c r="F11" s="425"/>
      <c r="G11" s="406"/>
      <c r="H11" s="394"/>
      <c r="I11" s="395"/>
      <c r="J11" s="396"/>
      <c r="K11" s="406"/>
      <c r="L11" s="406"/>
      <c r="M11" s="407"/>
      <c r="N11" s="233"/>
      <c r="O11" s="234"/>
      <c r="P11" s="279"/>
      <c r="Q11" s="280"/>
      <c r="R11" s="280"/>
      <c r="S11" s="280"/>
      <c r="T11" s="280"/>
      <c r="U11" s="278"/>
      <c r="V11" s="278"/>
      <c r="W11" s="278"/>
      <c r="X11" s="275"/>
      <c r="Y11" s="275"/>
      <c r="Z11" s="276"/>
      <c r="AA11" s="276"/>
      <c r="AB11" s="276"/>
      <c r="AC11" s="276"/>
      <c r="AD11" s="276"/>
      <c r="AE11" s="276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431"/>
      <c r="BE11" s="252"/>
      <c r="BF11" s="7"/>
      <c r="BG11" s="7">
        <f>IF($E$27,BN22,0)+IF($E$30,BN32,0)+IF($E$33,BN42,0)</f>
        <v>0.03</v>
      </c>
      <c r="BH11" s="7"/>
      <c r="BI11" s="7"/>
      <c r="BK11" s="7"/>
      <c r="BL11" s="7"/>
      <c r="CA11" s="229"/>
      <c r="CB11" s="229"/>
      <c r="CC11" s="229"/>
      <c r="CD11" s="229"/>
    </row>
    <row r="12" spans="1:85" ht="7.5" customHeight="1" thickBot="1">
      <c r="A12" s="412"/>
      <c r="B12" s="376" t="s">
        <v>10</v>
      </c>
      <c r="C12" s="377"/>
      <c r="D12" s="377"/>
      <c r="E12" s="377"/>
      <c r="F12" s="430" t="s">
        <v>3</v>
      </c>
      <c r="G12" s="400"/>
      <c r="H12" s="391">
        <v>240</v>
      </c>
      <c r="I12" s="392"/>
      <c r="J12" s="393"/>
      <c r="K12" s="400" t="s">
        <v>4</v>
      </c>
      <c r="L12" s="400"/>
      <c r="M12" s="401"/>
      <c r="N12" s="233"/>
      <c r="O12" s="234"/>
      <c r="P12" s="279" t="s">
        <v>238</v>
      </c>
      <c r="Q12" s="280"/>
      <c r="R12" s="280"/>
      <c r="S12" s="280"/>
      <c r="T12" s="280"/>
      <c r="U12" s="278">
        <f>'Spec Sheet'!L26</f>
        <v>4</v>
      </c>
      <c r="V12" s="278"/>
      <c r="W12" s="278"/>
      <c r="X12" s="275" t="s">
        <v>227</v>
      </c>
      <c r="Y12" s="275"/>
      <c r="Z12" s="276" t="s">
        <v>163</v>
      </c>
      <c r="AA12" s="276"/>
      <c r="AB12" s="276"/>
      <c r="AC12" s="276"/>
      <c r="AD12" s="276"/>
      <c r="AE12" s="276"/>
      <c r="AF12" s="274">
        <f>'Spec Sheet'!W27</f>
        <v>217</v>
      </c>
      <c r="AG12" s="274"/>
      <c r="AH12" s="274"/>
      <c r="AI12" s="274"/>
      <c r="AJ12" s="274"/>
      <c r="AK12" s="274"/>
      <c r="AL12" s="274"/>
      <c r="AM12" s="274"/>
      <c r="AN12" s="274">
        <f>'Spec Sheet'!X27</f>
        <v>198</v>
      </c>
      <c r="AO12" s="274"/>
      <c r="AP12" s="274"/>
      <c r="AQ12" s="274"/>
      <c r="AR12" s="274"/>
      <c r="AS12" s="274"/>
      <c r="AT12" s="274"/>
      <c r="AU12" s="274"/>
      <c r="AV12" s="274">
        <f>'Spec Sheet'!Y27</f>
        <v>198</v>
      </c>
      <c r="AW12" s="274"/>
      <c r="AX12" s="274"/>
      <c r="AY12" s="274"/>
      <c r="AZ12" s="274"/>
      <c r="BA12" s="274"/>
      <c r="BB12" s="274"/>
      <c r="BC12" s="274"/>
      <c r="BD12" s="431"/>
      <c r="BE12" s="252"/>
      <c r="BF12" s="7" t="s">
        <v>155</v>
      </c>
      <c r="BG12" s="7">
        <f>IF($E$27,BN22+T27,0)+IF($E$30,BN32+T30,0)+IF($E$33,BN42+T33,0)</f>
        <v>2.15</v>
      </c>
      <c r="BH12" s="7">
        <f>BH5+BH7+BH9</f>
        <v>2033.7408432771931</v>
      </c>
      <c r="BI12" s="229">
        <f>LARGE(BI5:BI10,1)</f>
        <v>426.66666666666674</v>
      </c>
      <c r="BJ12" s="229">
        <f>VLOOKUP(BI12,BI5:BJ10,2,FALSE)</f>
        <v>7.4999999999999989E-3</v>
      </c>
      <c r="BL12" s="7">
        <f>LARGE(BK5:BK9,1)+LARGE(BL5:BL9,1)</f>
        <v>1.2E-2</v>
      </c>
      <c r="BM12" s="229">
        <f>LARGE(BM5:BM9,1)</f>
        <v>1.5993283597428036</v>
      </c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</row>
    <row r="13" spans="1:85" ht="7.5" customHeight="1" thickBot="1">
      <c r="A13" s="412"/>
      <c r="B13" s="376"/>
      <c r="C13" s="377"/>
      <c r="D13" s="377"/>
      <c r="E13" s="377"/>
      <c r="F13" s="424"/>
      <c r="G13" s="402"/>
      <c r="H13" s="394"/>
      <c r="I13" s="395"/>
      <c r="J13" s="396"/>
      <c r="K13" s="402"/>
      <c r="L13" s="402"/>
      <c r="M13" s="403"/>
      <c r="N13" s="233"/>
      <c r="O13" s="234"/>
      <c r="P13" s="279"/>
      <c r="Q13" s="280"/>
      <c r="R13" s="280"/>
      <c r="S13" s="280"/>
      <c r="T13" s="280"/>
      <c r="U13" s="278"/>
      <c r="V13" s="278"/>
      <c r="W13" s="278"/>
      <c r="X13" s="275"/>
      <c r="Y13" s="275"/>
      <c r="Z13" s="276"/>
      <c r="AA13" s="276"/>
      <c r="AB13" s="276"/>
      <c r="AC13" s="276"/>
      <c r="AD13" s="276"/>
      <c r="AE13" s="276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431"/>
      <c r="BE13" s="252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</row>
    <row r="14" spans="1:85" ht="7.5" customHeight="1" thickBot="1">
      <c r="A14" s="412"/>
      <c r="B14" s="376"/>
      <c r="C14" s="377"/>
      <c r="D14" s="377"/>
      <c r="E14" s="377"/>
      <c r="F14" s="425"/>
      <c r="G14" s="406"/>
      <c r="H14" s="394"/>
      <c r="I14" s="395"/>
      <c r="J14" s="396"/>
      <c r="K14" s="406"/>
      <c r="L14" s="406"/>
      <c r="M14" s="407"/>
      <c r="N14" s="233"/>
      <c r="O14" s="234"/>
      <c r="P14" s="279" t="s">
        <v>273</v>
      </c>
      <c r="Q14" s="280"/>
      <c r="R14" s="280"/>
      <c r="S14" s="280"/>
      <c r="T14" s="280"/>
      <c r="U14" s="278">
        <f>'Spec Sheet'!G27</f>
        <v>135</v>
      </c>
      <c r="V14" s="278"/>
      <c r="W14" s="278"/>
      <c r="X14" s="275" t="s">
        <v>99</v>
      </c>
      <c r="Y14" s="275"/>
      <c r="Z14" s="276" t="s">
        <v>121</v>
      </c>
      <c r="AA14" s="276"/>
      <c r="AB14" s="276"/>
      <c r="AC14" s="276"/>
      <c r="AD14" s="276"/>
      <c r="AE14" s="276"/>
      <c r="AF14" s="274">
        <f>'Spec Sheet'!W28</f>
        <v>0.62</v>
      </c>
      <c r="AG14" s="274"/>
      <c r="AH14" s="274"/>
      <c r="AI14" s="274"/>
      <c r="AJ14" s="274"/>
      <c r="AK14" s="274"/>
      <c r="AL14" s="274"/>
      <c r="AM14" s="274"/>
      <c r="AN14" s="274">
        <f>'Spec Sheet'!X28</f>
        <v>1.9</v>
      </c>
      <c r="AO14" s="274"/>
      <c r="AP14" s="274"/>
      <c r="AQ14" s="274"/>
      <c r="AR14" s="274"/>
      <c r="AS14" s="274"/>
      <c r="AT14" s="274"/>
      <c r="AU14" s="274"/>
      <c r="AV14" s="274">
        <f>'Spec Sheet'!Y28</f>
        <v>1.9</v>
      </c>
      <c r="AW14" s="274"/>
      <c r="AX14" s="274"/>
      <c r="AY14" s="274"/>
      <c r="AZ14" s="274"/>
      <c r="BA14" s="274"/>
      <c r="BB14" s="274"/>
      <c r="BC14" s="274"/>
      <c r="BD14" s="431"/>
      <c r="BE14" s="252"/>
      <c r="BF14" s="282">
        <v>1</v>
      </c>
      <c r="BG14" s="10" t="s">
        <v>140</v>
      </c>
      <c r="BH14" s="10">
        <v>0</v>
      </c>
      <c r="BI14" s="10">
        <f t="shared" ref="BI14:CG14" si="0">($BN$22/25)+BH14</f>
        <v>5.9999999999999995E-4</v>
      </c>
      <c r="BJ14" s="10">
        <f t="shared" si="0"/>
        <v>1.1999999999999999E-3</v>
      </c>
      <c r="BK14" s="10">
        <f t="shared" si="0"/>
        <v>1.8E-3</v>
      </c>
      <c r="BL14" s="10">
        <f t="shared" si="0"/>
        <v>2.3999999999999998E-3</v>
      </c>
      <c r="BM14" s="10">
        <f t="shared" si="0"/>
        <v>2.9999999999999996E-3</v>
      </c>
      <c r="BN14" s="10">
        <f t="shared" si="0"/>
        <v>3.5999999999999995E-3</v>
      </c>
      <c r="BO14" s="10">
        <f t="shared" si="0"/>
        <v>4.1999999999999997E-3</v>
      </c>
      <c r="BP14" s="10">
        <f t="shared" si="0"/>
        <v>4.7999999999999996E-3</v>
      </c>
      <c r="BQ14" s="10">
        <f t="shared" si="0"/>
        <v>5.3999999999999994E-3</v>
      </c>
      <c r="BR14" s="10">
        <f t="shared" si="0"/>
        <v>5.9999999999999993E-3</v>
      </c>
      <c r="BS14" s="10">
        <f t="shared" si="0"/>
        <v>6.5999999999999991E-3</v>
      </c>
      <c r="BT14" s="10">
        <f t="shared" si="0"/>
        <v>7.1999999999999989E-3</v>
      </c>
      <c r="BU14" s="10">
        <f t="shared" si="0"/>
        <v>7.7999999999999988E-3</v>
      </c>
      <c r="BV14" s="10">
        <f t="shared" si="0"/>
        <v>8.3999999999999995E-3</v>
      </c>
      <c r="BW14" s="10">
        <f t="shared" si="0"/>
        <v>8.9999999999999993E-3</v>
      </c>
      <c r="BX14" s="10">
        <f t="shared" si="0"/>
        <v>9.5999999999999992E-3</v>
      </c>
      <c r="BY14" s="10">
        <f t="shared" si="0"/>
        <v>1.0199999999999999E-2</v>
      </c>
      <c r="BZ14" s="10">
        <f t="shared" si="0"/>
        <v>1.0799999999999999E-2</v>
      </c>
      <c r="CA14" s="10">
        <f t="shared" si="0"/>
        <v>1.1399999999999999E-2</v>
      </c>
      <c r="CB14" s="10">
        <f t="shared" si="0"/>
        <v>1.1999999999999999E-2</v>
      </c>
      <c r="CC14" s="10">
        <f t="shared" si="0"/>
        <v>1.2599999999999998E-2</v>
      </c>
      <c r="CD14" s="10">
        <f t="shared" si="0"/>
        <v>1.3199999999999998E-2</v>
      </c>
      <c r="CE14" s="10">
        <f t="shared" si="0"/>
        <v>1.3799999999999998E-2</v>
      </c>
      <c r="CF14" s="10">
        <f t="shared" si="0"/>
        <v>1.4399999999999998E-2</v>
      </c>
      <c r="CG14" s="10">
        <f t="shared" si="0"/>
        <v>1.4999999999999998E-2</v>
      </c>
    </row>
    <row r="15" spans="1:85" ht="7.5" customHeight="1" thickBot="1">
      <c r="A15" s="412"/>
      <c r="B15" s="376" t="s">
        <v>9</v>
      </c>
      <c r="C15" s="377"/>
      <c r="D15" s="377"/>
      <c r="E15" s="377"/>
      <c r="F15" s="430" t="s">
        <v>5</v>
      </c>
      <c r="G15" s="400"/>
      <c r="H15" s="391">
        <v>50</v>
      </c>
      <c r="I15" s="392"/>
      <c r="J15" s="393"/>
      <c r="K15" s="400" t="s">
        <v>6</v>
      </c>
      <c r="L15" s="400"/>
      <c r="M15" s="401"/>
      <c r="N15" s="233"/>
      <c r="O15" s="234"/>
      <c r="P15" s="279"/>
      <c r="Q15" s="280"/>
      <c r="R15" s="280"/>
      <c r="S15" s="280"/>
      <c r="T15" s="280"/>
      <c r="U15" s="278"/>
      <c r="V15" s="278"/>
      <c r="W15" s="278"/>
      <c r="X15" s="275"/>
      <c r="Y15" s="275"/>
      <c r="Z15" s="276"/>
      <c r="AA15" s="276"/>
      <c r="AB15" s="276"/>
      <c r="AC15" s="276"/>
      <c r="AD15" s="276"/>
      <c r="AE15" s="276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431"/>
      <c r="BE15" s="252"/>
      <c r="BF15" s="282"/>
      <c r="BG15" s="10" t="s">
        <v>3</v>
      </c>
      <c r="BH15" s="10">
        <v>0</v>
      </c>
      <c r="BI15" s="249">
        <f>IF($E$27,IF(IF($BW$21&lt;BI14,$BN$22-BI14,BI14)&lt;=0,0,IF(IF($BW$21&lt;BI14,$BN$22-BI14,BI14)&lt;=IF(BI14&gt;$BW$21,$BM$22,$BK$22),((IF(BI14&gt;$BW$21,$BM$22,$BK$22)*$BU$21)/(4*PI()^2))*((2*PI())/IF(BI14&gt;$BW$21,$BM$22,$BK$22))*(((2*PI())/IF(BI14&gt;$BW$21,$BM$22,$BK$22))*IF($BW$21&lt;BI14,$BN$22-BI14,BI14)-SIN(((2*PI())/IF(BI14&gt;$BW$21,$BM$22,$BK$22))*IF($BW$21&lt;BI14,$BN$22-BI14,BI14))),$BU$21)),0)*IF($G$27="+",1,1)</f>
        <v>5.3224342624480156E-3</v>
      </c>
      <c r="BJ15" s="249">
        <f t="shared" ref="BJ15:CG15" si="1">IF($E$27,IF(IF($BW$21&lt;BJ14,$BN$22-BJ14,BJ14)&lt;=0,0,IF(IF($BW$21&lt;BJ14,$BN$22-BJ14,BJ14)&lt;=IF(BJ14&gt;$BW$21,$BM$22,$BK$22),((IF(BJ14&gt;$BW$21,$BM$22,$BK$22)*$BU$21)/(4*PI()^2))*((2*PI())/IF(BJ14&gt;$BW$21,$BM$22,$BK$22))*(((2*PI())/IF(BJ14&gt;$BW$21,$BM$22,$BK$22))*IF($BW$21&lt;BJ14,$BN$22-BJ14,BJ14)-SIN(((2*PI())/IF(BJ14&gt;$BW$21,$BM$22,$BK$22))*IF($BW$21&lt;BJ14,$BN$22-BJ14,BJ14))),$BU$21)),0)*IF($G$27="+",1,1)</f>
        <v>4.0993659305326009E-2</v>
      </c>
      <c r="BK15" s="249">
        <f t="shared" si="1"/>
        <v>0.12985458053249277</v>
      </c>
      <c r="BL15" s="249">
        <f t="shared" si="1"/>
        <v>0.28158768313082122</v>
      </c>
      <c r="BM15" s="249">
        <f t="shared" si="1"/>
        <v>0.49032171459381768</v>
      </c>
      <c r="BN15" s="249">
        <f t="shared" si="1"/>
        <v>0.7360841541512797</v>
      </c>
      <c r="BO15" s="249">
        <f t="shared" si="1"/>
        <v>0.98974214757321499</v>
      </c>
      <c r="BP15" s="249">
        <f t="shared" si="1"/>
        <v>1.220209586088852</v>
      </c>
      <c r="BQ15" s="249">
        <f t="shared" si="1"/>
        <v>1.4021373943833901</v>
      </c>
      <c r="BR15" s="249">
        <f t="shared" si="1"/>
        <v>1.5221845531650102</v>
      </c>
      <c r="BS15" s="249">
        <f t="shared" si="1"/>
        <v>1.5823184891004833</v>
      </c>
      <c r="BT15" s="249">
        <f t="shared" si="1"/>
        <v>1.5993283597428036</v>
      </c>
      <c r="BU15" s="249">
        <f t="shared" si="1"/>
        <v>1.5993283597428036</v>
      </c>
      <c r="BV15" s="249">
        <f t="shared" si="1"/>
        <v>1.5823184891004833</v>
      </c>
      <c r="BW15" s="249">
        <f t="shared" si="1"/>
        <v>1.5221845531650104</v>
      </c>
      <c r="BX15" s="249">
        <f t="shared" si="1"/>
        <v>1.4021373943833904</v>
      </c>
      <c r="BY15" s="249">
        <f t="shared" si="1"/>
        <v>1.220209586088852</v>
      </c>
      <c r="BZ15" s="249">
        <f t="shared" si="1"/>
        <v>0.98974214757321544</v>
      </c>
      <c r="CA15" s="249">
        <f t="shared" si="1"/>
        <v>0.73608415415128015</v>
      </c>
      <c r="CB15" s="249">
        <f t="shared" si="1"/>
        <v>0.49032171459381813</v>
      </c>
      <c r="CC15" s="249">
        <f t="shared" si="1"/>
        <v>0.28158768313082161</v>
      </c>
      <c r="CD15" s="249">
        <f t="shared" si="1"/>
        <v>0.12985458053249302</v>
      </c>
      <c r="CE15" s="249">
        <f t="shared" si="1"/>
        <v>4.099365930532612E-2</v>
      </c>
      <c r="CF15" s="249">
        <f t="shared" si="1"/>
        <v>5.3224342624480581E-3</v>
      </c>
      <c r="CG15" s="249">
        <f t="shared" si="1"/>
        <v>0</v>
      </c>
    </row>
    <row r="16" spans="1:85" ht="7.5" customHeight="1" thickBot="1">
      <c r="A16" s="412"/>
      <c r="B16" s="376"/>
      <c r="C16" s="377"/>
      <c r="D16" s="377"/>
      <c r="E16" s="377"/>
      <c r="F16" s="424"/>
      <c r="G16" s="402"/>
      <c r="H16" s="394"/>
      <c r="I16" s="395"/>
      <c r="J16" s="396"/>
      <c r="K16" s="402"/>
      <c r="L16" s="402"/>
      <c r="M16" s="403"/>
      <c r="N16" s="233"/>
      <c r="O16" s="234"/>
      <c r="P16" s="279" t="s">
        <v>161</v>
      </c>
      <c r="Q16" s="280"/>
      <c r="R16" s="280"/>
      <c r="S16" s="280"/>
      <c r="T16" s="280"/>
      <c r="U16" s="278">
        <f>BG12</f>
        <v>2.15</v>
      </c>
      <c r="V16" s="278"/>
      <c r="W16" s="278"/>
      <c r="X16" s="275" t="s">
        <v>102</v>
      </c>
      <c r="Y16" s="275"/>
      <c r="Z16" s="276" t="s">
        <v>123</v>
      </c>
      <c r="AA16" s="276"/>
      <c r="AB16" s="276"/>
      <c r="AC16" s="276"/>
      <c r="AD16" s="276"/>
      <c r="AE16" s="276"/>
      <c r="AF16" s="274">
        <f>'Spec Sheet'!W29</f>
        <v>10</v>
      </c>
      <c r="AG16" s="274"/>
      <c r="AH16" s="274"/>
      <c r="AI16" s="274"/>
      <c r="AJ16" s="274"/>
      <c r="AK16" s="274"/>
      <c r="AL16" s="274"/>
      <c r="AM16" s="274"/>
      <c r="AN16" s="274">
        <f>'Spec Sheet'!X29</f>
        <v>47</v>
      </c>
      <c r="AO16" s="274"/>
      <c r="AP16" s="274"/>
      <c r="AQ16" s="274"/>
      <c r="AR16" s="274"/>
      <c r="AS16" s="274"/>
      <c r="AT16" s="274"/>
      <c r="AU16" s="274"/>
      <c r="AV16" s="274">
        <f>'Spec Sheet'!Y29</f>
        <v>47</v>
      </c>
      <c r="AW16" s="274"/>
      <c r="AX16" s="274"/>
      <c r="AY16" s="274"/>
      <c r="AZ16" s="274"/>
      <c r="BA16" s="274"/>
      <c r="BB16" s="274"/>
      <c r="BC16" s="274"/>
      <c r="BD16" s="431"/>
      <c r="BE16" s="252"/>
      <c r="BF16" s="282"/>
      <c r="BG16" s="229" t="s">
        <v>5</v>
      </c>
      <c r="BH16" s="7">
        <f>IFERROR((BI15-BH15)/$BG$5,0)</f>
        <v>8.870723770746693</v>
      </c>
      <c r="BI16" s="7">
        <f t="shared" ref="BI16:CF16" si="2">IFERROR((BJ15-BI15)/$BG$5,0)</f>
        <v>59.452041738129992</v>
      </c>
      <c r="BJ16" s="7">
        <f t="shared" si="2"/>
        <v>148.10153537861129</v>
      </c>
      <c r="BK16" s="7">
        <f t="shared" si="2"/>
        <v>252.88850433054745</v>
      </c>
      <c r="BL16" s="7">
        <f t="shared" si="2"/>
        <v>347.89005243832747</v>
      </c>
      <c r="BM16" s="7">
        <f t="shared" si="2"/>
        <v>409.6040659291034</v>
      </c>
      <c r="BN16" s="7">
        <f t="shared" si="2"/>
        <v>422.76332236989219</v>
      </c>
      <c r="BO16" s="7">
        <f t="shared" si="2"/>
        <v>384.11239752606173</v>
      </c>
      <c r="BP16" s="7">
        <f t="shared" si="2"/>
        <v>303.21301382423025</v>
      </c>
      <c r="BQ16" s="7">
        <f t="shared" si="2"/>
        <v>200.07859796936683</v>
      </c>
      <c r="BR16" s="7">
        <f t="shared" si="2"/>
        <v>100.22322655912187</v>
      </c>
      <c r="BS16" s="7">
        <f t="shared" si="2"/>
        <v>28.349784403867154</v>
      </c>
      <c r="BT16" s="7">
        <f t="shared" si="2"/>
        <v>0</v>
      </c>
      <c r="BU16" s="7">
        <f t="shared" si="2"/>
        <v>-28.349784403867154</v>
      </c>
      <c r="BV16" s="7">
        <f t="shared" si="2"/>
        <v>-100.2232265591215</v>
      </c>
      <c r="BW16" s="7">
        <f t="shared" si="2"/>
        <v>-200.07859796936683</v>
      </c>
      <c r="BX16" s="7">
        <f t="shared" si="2"/>
        <v>-303.21301382423064</v>
      </c>
      <c r="BY16" s="7">
        <f t="shared" si="2"/>
        <v>-384.11239752606099</v>
      </c>
      <c r="BZ16" s="7">
        <f t="shared" si="2"/>
        <v>-422.76332236989219</v>
      </c>
      <c r="CA16" s="7">
        <f t="shared" si="2"/>
        <v>-409.6040659291034</v>
      </c>
      <c r="CB16" s="7">
        <f t="shared" si="2"/>
        <v>-347.89005243832753</v>
      </c>
      <c r="CC16" s="7">
        <f t="shared" si="2"/>
        <v>-252.88850433054768</v>
      </c>
      <c r="CD16" s="7">
        <f t="shared" si="2"/>
        <v>-148.10153537861152</v>
      </c>
      <c r="CE16" s="7">
        <f t="shared" si="2"/>
        <v>-59.452041738130113</v>
      </c>
      <c r="CF16" s="7">
        <f t="shared" si="2"/>
        <v>-8.8707237707467641</v>
      </c>
    </row>
    <row r="17" spans="1:85" ht="7.5" customHeight="1" thickBot="1">
      <c r="A17" s="412"/>
      <c r="B17" s="376"/>
      <c r="C17" s="377"/>
      <c r="D17" s="377"/>
      <c r="E17" s="377"/>
      <c r="F17" s="425"/>
      <c r="G17" s="406"/>
      <c r="H17" s="394"/>
      <c r="I17" s="395"/>
      <c r="J17" s="396"/>
      <c r="K17" s="406"/>
      <c r="L17" s="406"/>
      <c r="M17" s="407"/>
      <c r="N17" s="233"/>
      <c r="O17" s="234"/>
      <c r="P17" s="279"/>
      <c r="Q17" s="280"/>
      <c r="R17" s="280"/>
      <c r="S17" s="280"/>
      <c r="T17" s="280"/>
      <c r="U17" s="278"/>
      <c r="V17" s="278"/>
      <c r="W17" s="278"/>
      <c r="X17" s="275"/>
      <c r="Y17" s="275"/>
      <c r="Z17" s="276"/>
      <c r="AA17" s="276"/>
      <c r="AB17" s="276"/>
      <c r="AC17" s="276"/>
      <c r="AD17" s="276"/>
      <c r="AE17" s="276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431"/>
      <c r="BE17" s="252"/>
      <c r="BF17" s="282"/>
      <c r="BG17" s="229" t="s">
        <v>146</v>
      </c>
      <c r="BH17" s="229">
        <f t="shared" ref="BH17:CF17" si="3">((BH16)^2)*$BG$5</f>
        <v>4.7213844130134255E-2</v>
      </c>
      <c r="BI17" s="229">
        <f t="shared" si="3"/>
        <v>2.1207271600994102</v>
      </c>
      <c r="BJ17" s="229">
        <f t="shared" si="3"/>
        <v>13.160438868901229</v>
      </c>
      <c r="BK17" s="229">
        <f t="shared" si="3"/>
        <v>38.371557373524787</v>
      </c>
      <c r="BL17" s="229">
        <f t="shared" si="3"/>
        <v>72.616493151325329</v>
      </c>
      <c r="BM17" s="229">
        <f t="shared" si="3"/>
        <v>100.66529449539196</v>
      </c>
      <c r="BN17" s="229">
        <f t="shared" si="3"/>
        <v>107.23729604473763</v>
      </c>
      <c r="BO17" s="229">
        <f t="shared" si="3"/>
        <v>88.525400359931567</v>
      </c>
      <c r="BP17" s="229">
        <f t="shared" si="3"/>
        <v>55.162879051423694</v>
      </c>
      <c r="BQ17" s="229">
        <f t="shared" si="3"/>
        <v>24.018867219232508</v>
      </c>
      <c r="BR17" s="229">
        <f t="shared" si="3"/>
        <v>6.0268170851526417</v>
      </c>
      <c r="BS17" s="229">
        <f t="shared" si="3"/>
        <v>0.48222616544744956</v>
      </c>
      <c r="BT17" s="229">
        <f t="shared" si="3"/>
        <v>0</v>
      </c>
      <c r="BU17" s="229">
        <f t="shared" si="3"/>
        <v>0.48222616544744956</v>
      </c>
      <c r="BV17" s="229">
        <f t="shared" si="3"/>
        <v>6.0268170851525973</v>
      </c>
      <c r="BW17" s="229">
        <f t="shared" si="3"/>
        <v>24.018867219232508</v>
      </c>
      <c r="BX17" s="229">
        <f t="shared" si="3"/>
        <v>55.162879051423843</v>
      </c>
      <c r="BY17" s="229">
        <f t="shared" si="3"/>
        <v>88.525400359931211</v>
      </c>
      <c r="BZ17" s="229">
        <f t="shared" si="3"/>
        <v>107.23729604473763</v>
      </c>
      <c r="CA17" s="229">
        <f t="shared" si="3"/>
        <v>100.66529449539196</v>
      </c>
      <c r="CB17" s="229">
        <f t="shared" si="3"/>
        <v>72.616493151325358</v>
      </c>
      <c r="CC17" s="229">
        <f t="shared" si="3"/>
        <v>38.371557373524858</v>
      </c>
      <c r="CD17" s="229">
        <f t="shared" si="3"/>
        <v>13.16043886890127</v>
      </c>
      <c r="CE17" s="229">
        <f t="shared" si="3"/>
        <v>2.1207271600994191</v>
      </c>
      <c r="CF17" s="229">
        <f t="shared" si="3"/>
        <v>4.7213844130135012E-2</v>
      </c>
    </row>
    <row r="18" spans="1:85" ht="7.5" customHeight="1" thickBot="1">
      <c r="A18" s="412"/>
      <c r="B18" s="376" t="s">
        <v>12</v>
      </c>
      <c r="C18" s="377"/>
      <c r="D18" s="377"/>
      <c r="E18" s="377"/>
      <c r="F18" s="377"/>
      <c r="G18" s="378"/>
      <c r="H18" s="391">
        <v>25</v>
      </c>
      <c r="I18" s="392"/>
      <c r="J18" s="393"/>
      <c r="K18" s="400" t="s">
        <v>7</v>
      </c>
      <c r="L18" s="400"/>
      <c r="M18" s="401"/>
      <c r="N18" s="233"/>
      <c r="O18" s="234"/>
      <c r="P18" s="279" t="s">
        <v>157</v>
      </c>
      <c r="Q18" s="280"/>
      <c r="R18" s="280"/>
      <c r="S18" s="280"/>
      <c r="T18" s="280"/>
      <c r="U18" s="278">
        <f>ROUND(BI12/9.81,2)</f>
        <v>43.49</v>
      </c>
      <c r="V18" s="278"/>
      <c r="W18" s="278"/>
      <c r="X18" s="275" t="s">
        <v>101</v>
      </c>
      <c r="Y18" s="275"/>
      <c r="Z18" s="276" t="s">
        <v>119</v>
      </c>
      <c r="AA18" s="276"/>
      <c r="AB18" s="276"/>
      <c r="AC18" s="276"/>
      <c r="AD18" s="276"/>
      <c r="AE18" s="276"/>
      <c r="AF18" s="284">
        <f>'Spec Sheet'!W30</f>
        <v>0.17</v>
      </c>
      <c r="AG18" s="274"/>
      <c r="AH18" s="274"/>
      <c r="AI18" s="274"/>
      <c r="AJ18" s="274"/>
      <c r="AK18" s="274"/>
      <c r="AL18" s="274"/>
      <c r="AM18" s="274"/>
      <c r="AN18" s="284">
        <f>'Spec Sheet'!X30</f>
        <v>0.42</v>
      </c>
      <c r="AO18" s="274"/>
      <c r="AP18" s="274"/>
      <c r="AQ18" s="274"/>
      <c r="AR18" s="274"/>
      <c r="AS18" s="274"/>
      <c r="AT18" s="274"/>
      <c r="AU18" s="274"/>
      <c r="AV18" s="284">
        <f>'Spec Sheet'!Y30</f>
        <v>0.42</v>
      </c>
      <c r="AW18" s="274"/>
      <c r="AX18" s="274"/>
      <c r="AY18" s="274"/>
      <c r="AZ18" s="274"/>
      <c r="BA18" s="274"/>
      <c r="BB18" s="274"/>
      <c r="BC18" s="274"/>
      <c r="BD18" s="431"/>
      <c r="BE18" s="252"/>
      <c r="BF18" s="282"/>
      <c r="BG18" s="229" t="s">
        <v>98</v>
      </c>
      <c r="BH18" s="229">
        <v>0</v>
      </c>
      <c r="BI18" s="229">
        <f t="shared" ref="BI18:CF18" si="4">(BI15*$BG$5)+BH18</f>
        <v>3.193460557468809E-6</v>
      </c>
      <c r="BJ18" s="229">
        <f t="shared" si="4"/>
        <v>2.7789656140664412E-5</v>
      </c>
      <c r="BK18" s="229">
        <f t="shared" si="4"/>
        <v>1.0570240446016006E-4</v>
      </c>
      <c r="BL18" s="229">
        <f t="shared" si="4"/>
        <v>2.7465501433865277E-4</v>
      </c>
      <c r="BM18" s="229">
        <f t="shared" si="4"/>
        <v>5.6884804309494336E-4</v>
      </c>
      <c r="BN18" s="229">
        <f t="shared" si="4"/>
        <v>1.0104985355857111E-3</v>
      </c>
      <c r="BO18" s="229">
        <f t="shared" si="4"/>
        <v>1.60434382412964E-3</v>
      </c>
      <c r="BP18" s="229">
        <f t="shared" si="4"/>
        <v>2.3364695757829511E-3</v>
      </c>
      <c r="BQ18" s="229">
        <f t="shared" si="4"/>
        <v>3.1777520124129854E-3</v>
      </c>
      <c r="BR18" s="229">
        <f t="shared" si="4"/>
        <v>4.0910627443119917E-3</v>
      </c>
      <c r="BS18" s="229">
        <f t="shared" si="4"/>
        <v>5.0404538377722815E-3</v>
      </c>
      <c r="BT18" s="229">
        <f t="shared" si="4"/>
        <v>6.0000508536179635E-3</v>
      </c>
      <c r="BU18" s="229">
        <f t="shared" si="4"/>
        <v>6.9596478694636454E-3</v>
      </c>
      <c r="BV18" s="229">
        <f t="shared" si="4"/>
        <v>7.9090389629239352E-3</v>
      </c>
      <c r="BW18" s="229">
        <f t="shared" si="4"/>
        <v>8.8223496948229407E-3</v>
      </c>
      <c r="BX18" s="229">
        <f t="shared" si="4"/>
        <v>9.6636321314529754E-3</v>
      </c>
      <c r="BY18" s="229">
        <f t="shared" si="4"/>
        <v>1.0395757883106286E-2</v>
      </c>
      <c r="BZ18" s="229">
        <f t="shared" si="4"/>
        <v>1.0989603171650215E-2</v>
      </c>
      <c r="CA18" s="229">
        <f t="shared" si="4"/>
        <v>1.1431253664140984E-2</v>
      </c>
      <c r="CB18" s="229">
        <f t="shared" si="4"/>
        <v>1.1725446692897275E-2</v>
      </c>
      <c r="CC18" s="229">
        <f t="shared" si="4"/>
        <v>1.1894399302775768E-2</v>
      </c>
      <c r="CD18" s="229">
        <f t="shared" si="4"/>
        <v>1.1972312051095264E-2</v>
      </c>
      <c r="CE18" s="229">
        <f t="shared" si="4"/>
        <v>1.1996908246678459E-2</v>
      </c>
      <c r="CF18" s="229">
        <f t="shared" si="4"/>
        <v>1.2000101707235929E-2</v>
      </c>
    </row>
    <row r="19" spans="1:85" ht="7.5" customHeight="1" thickBot="1">
      <c r="A19" s="412"/>
      <c r="B19" s="376"/>
      <c r="C19" s="377"/>
      <c r="D19" s="377"/>
      <c r="E19" s="377"/>
      <c r="F19" s="377"/>
      <c r="G19" s="378"/>
      <c r="H19" s="394"/>
      <c r="I19" s="395"/>
      <c r="J19" s="396"/>
      <c r="K19" s="402"/>
      <c r="L19" s="402"/>
      <c r="M19" s="403"/>
      <c r="N19" s="233"/>
      <c r="O19" s="234"/>
      <c r="P19" s="279"/>
      <c r="Q19" s="280"/>
      <c r="R19" s="280"/>
      <c r="S19" s="280"/>
      <c r="T19" s="280"/>
      <c r="U19" s="278"/>
      <c r="V19" s="278"/>
      <c r="W19" s="278"/>
      <c r="X19" s="275"/>
      <c r="Y19" s="275"/>
      <c r="Z19" s="276"/>
      <c r="AA19" s="276"/>
      <c r="AB19" s="276"/>
      <c r="AC19" s="276"/>
      <c r="AD19" s="276"/>
      <c r="AE19" s="276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431"/>
      <c r="BE19" s="252"/>
      <c r="BF19" s="282"/>
    </row>
    <row r="20" spans="1:85" ht="7.5" customHeight="1" thickBot="1">
      <c r="A20" s="412"/>
      <c r="B20" s="376"/>
      <c r="C20" s="377"/>
      <c r="D20" s="377"/>
      <c r="E20" s="377"/>
      <c r="F20" s="377"/>
      <c r="G20" s="378"/>
      <c r="H20" s="394"/>
      <c r="I20" s="395"/>
      <c r="J20" s="396"/>
      <c r="K20" s="406"/>
      <c r="L20" s="406"/>
      <c r="M20" s="407"/>
      <c r="N20" s="233"/>
      <c r="O20" s="234"/>
      <c r="P20" s="279" t="s">
        <v>156</v>
      </c>
      <c r="Q20" s="280"/>
      <c r="R20" s="280"/>
      <c r="S20" s="280"/>
      <c r="T20" s="280"/>
      <c r="U20" s="278">
        <f>IF(BM12&lt;1,ROUND((BM12*1000),1),ROUND(BM12,2))</f>
        <v>1.6</v>
      </c>
      <c r="V20" s="278"/>
      <c r="W20" s="278"/>
      <c r="X20" s="275" t="str">
        <f>IF(BM12&lt;1," mm/s"," m/s")</f>
        <v xml:space="preserve"> m/s</v>
      </c>
      <c r="Y20" s="275"/>
      <c r="Z20" s="276" t="s">
        <v>100</v>
      </c>
      <c r="AA20" s="276"/>
      <c r="AB20" s="276"/>
      <c r="AC20" s="276"/>
      <c r="AD20" s="276"/>
      <c r="AE20" s="276"/>
      <c r="AF20" s="274">
        <f>'Spec Sheet'!W31</f>
        <v>18</v>
      </c>
      <c r="AG20" s="274"/>
      <c r="AH20" s="274"/>
      <c r="AI20" s="274"/>
      <c r="AJ20" s="274"/>
      <c r="AK20" s="274"/>
      <c r="AL20" s="274"/>
      <c r="AM20" s="274"/>
      <c r="AN20" s="274">
        <f>'Spec Sheet'!X31</f>
        <v>46</v>
      </c>
      <c r="AO20" s="274"/>
      <c r="AP20" s="274"/>
      <c r="AQ20" s="274"/>
      <c r="AR20" s="274"/>
      <c r="AS20" s="274"/>
      <c r="AT20" s="274"/>
      <c r="AU20" s="274"/>
      <c r="AV20" s="274">
        <f>'Spec Sheet'!Y31</f>
        <v>46</v>
      </c>
      <c r="AW20" s="274"/>
      <c r="AX20" s="274"/>
      <c r="AY20" s="274"/>
      <c r="AZ20" s="274"/>
      <c r="BA20" s="274"/>
      <c r="BB20" s="274"/>
      <c r="BC20" s="274"/>
      <c r="BD20" s="431"/>
      <c r="BE20" s="252"/>
      <c r="BF20" s="282"/>
      <c r="BG20" s="249" t="s">
        <v>105</v>
      </c>
      <c r="BH20" s="249" t="s">
        <v>114</v>
      </c>
      <c r="BI20" s="249" t="s">
        <v>115</v>
      </c>
      <c r="BJ20" s="249" t="s">
        <v>106</v>
      </c>
      <c r="BK20" s="249" t="s">
        <v>107</v>
      </c>
      <c r="BL20" s="249" t="s">
        <v>108</v>
      </c>
      <c r="BM20" s="249" t="s">
        <v>109</v>
      </c>
      <c r="BN20" s="249" t="s">
        <v>104</v>
      </c>
      <c r="BO20" s="249" t="s">
        <v>110</v>
      </c>
      <c r="BP20" s="249" t="s">
        <v>111</v>
      </c>
      <c r="BQ20" s="249" t="s">
        <v>112</v>
      </c>
      <c r="BR20" s="249" t="s">
        <v>135</v>
      </c>
      <c r="BS20" s="247" t="s">
        <v>126</v>
      </c>
      <c r="BT20" s="247" t="s">
        <v>127</v>
      </c>
      <c r="BU20" s="247" t="s">
        <v>128</v>
      </c>
      <c r="BV20" s="247" t="s">
        <v>129</v>
      </c>
      <c r="BW20" s="247" t="s">
        <v>130</v>
      </c>
      <c r="BX20" s="247" t="s">
        <v>131</v>
      </c>
      <c r="BY20" s="247" t="s">
        <v>132</v>
      </c>
      <c r="BZ20" s="247" t="s">
        <v>133</v>
      </c>
      <c r="CA20" s="247"/>
      <c r="CB20" s="247" t="s">
        <v>134</v>
      </c>
      <c r="CC20" s="247"/>
    </row>
    <row r="21" spans="1:85" ht="7.5" customHeight="1" thickBot="1">
      <c r="A21" s="412"/>
      <c r="B21" s="376" t="s">
        <v>8</v>
      </c>
      <c r="C21" s="377"/>
      <c r="D21" s="377"/>
      <c r="E21" s="377"/>
      <c r="F21" s="377"/>
      <c r="G21" s="378"/>
      <c r="H21" s="391">
        <v>500</v>
      </c>
      <c r="I21" s="392"/>
      <c r="J21" s="393"/>
      <c r="K21" s="400" t="s">
        <v>7</v>
      </c>
      <c r="L21" s="400"/>
      <c r="M21" s="401"/>
      <c r="N21" s="233"/>
      <c r="O21" s="234"/>
      <c r="P21" s="379"/>
      <c r="Q21" s="380"/>
      <c r="R21" s="380"/>
      <c r="S21" s="380"/>
      <c r="T21" s="380"/>
      <c r="U21" s="411"/>
      <c r="V21" s="411"/>
      <c r="W21" s="411"/>
      <c r="X21" s="410"/>
      <c r="Y21" s="275"/>
      <c r="Z21" s="277"/>
      <c r="AA21" s="276"/>
      <c r="AB21" s="276"/>
      <c r="AC21" s="276"/>
      <c r="AD21" s="276"/>
      <c r="AE21" s="276"/>
      <c r="AF21" s="409"/>
      <c r="AG21" s="409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431"/>
      <c r="BE21" s="252"/>
      <c r="BF21" s="282"/>
      <c r="BG21" s="247">
        <f>IF(ISBLANK(I27),0,I27)</f>
        <v>0</v>
      </c>
      <c r="BH21" s="247">
        <f>IF(ISBLANK(K27),0,K27)</f>
        <v>0</v>
      </c>
      <c r="BI21" s="247">
        <f>IF(ISBLANK(N27),0,N27)</f>
        <v>0</v>
      </c>
      <c r="BJ21" s="247">
        <f>IF(ISBLANK(Q27),0,Q27)/1000</f>
        <v>1.2E-2</v>
      </c>
      <c r="BK21" s="8">
        <f>IF(ISBLANK(W27),0,W27)</f>
        <v>0</v>
      </c>
      <c r="BL21" s="8">
        <f>IF(ISBLANK(Z27),0,Z27)</f>
        <v>0</v>
      </c>
      <c r="BM21" s="8">
        <f>IF(ISBLANK(AC27),0,AC27)</f>
        <v>0</v>
      </c>
      <c r="BN21" s="8">
        <f>IF(ISBLANK(AF27),0,AF27)</f>
        <v>1.4999999999999999E-2</v>
      </c>
      <c r="BO21" s="247">
        <f>IF(ISBLANK(AI27),0,AI27)/1000</f>
        <v>0</v>
      </c>
      <c r="BP21" s="247">
        <f>IF(ISBLANK(AI27),0,AI27)/1000</f>
        <v>0</v>
      </c>
      <c r="BQ21" s="247">
        <f>IF(ISBLANK(AO27),0,AO27)/1000</f>
        <v>0</v>
      </c>
      <c r="BR21" s="247" t="str">
        <f>IF(ISBLANK(G27),0,G27)</f>
        <v>+</v>
      </c>
      <c r="BS21" s="247">
        <f>(BG22^2/BH22)</f>
        <v>6.0000000000000001E-3</v>
      </c>
      <c r="BT21" s="247">
        <f>BO22+((BJ22-(BO22+BQ22))/2)</f>
        <v>6.0000000000000001E-3</v>
      </c>
      <c r="BU21" s="247">
        <f>IF(BT21&gt;BS21,BG22,SQRT((BT21*BH22)/1))</f>
        <v>1.6</v>
      </c>
      <c r="BV21" s="247">
        <f>BU21/BH22</f>
        <v>3.7499999999999994E-3</v>
      </c>
      <c r="BW21" s="247">
        <f>BK22+(BL22/2)</f>
        <v>7.4999999999999989E-3</v>
      </c>
      <c r="BX21" s="8">
        <f>BU21/BI22</f>
        <v>3.7499999999999994E-3</v>
      </c>
      <c r="BY21" s="247">
        <f>((2*BJ22)/(BN21+SQRT(BN21^2-4*(2/BZ21)*BJ22)))</f>
        <v>1.5999999824388134</v>
      </c>
      <c r="BZ21" s="8">
        <f>IF((4*(BJ22/BN22^2)*2)&gt;(BH22+BI22)/2,(4*(BJ22/BN22^2)*2),(BH22+BI22)/2)</f>
        <v>426.66666666666674</v>
      </c>
      <c r="CA21" s="247">
        <f>IFERROR(2*(BJ22/BN21),100)</f>
        <v>1.6</v>
      </c>
      <c r="CB21" s="247">
        <f>(1/2)*2</f>
        <v>1</v>
      </c>
      <c r="CC21" s="9">
        <f>BL22/BN22</f>
        <v>0</v>
      </c>
    </row>
    <row r="22" spans="1:85" ht="7.5" customHeight="1">
      <c r="A22" s="412"/>
      <c r="B22" s="376"/>
      <c r="C22" s="377"/>
      <c r="D22" s="377"/>
      <c r="E22" s="377"/>
      <c r="F22" s="377"/>
      <c r="G22" s="378"/>
      <c r="H22" s="394"/>
      <c r="I22" s="395"/>
      <c r="J22" s="396"/>
      <c r="K22" s="402"/>
      <c r="L22" s="402"/>
      <c r="M22" s="403"/>
      <c r="N22" s="233"/>
      <c r="O22" s="234"/>
      <c r="P22" s="266" t="s">
        <v>267</v>
      </c>
      <c r="Q22" s="266"/>
      <c r="R22" s="266"/>
      <c r="S22" s="266"/>
      <c r="T22" s="234"/>
      <c r="U22" s="268" t="s">
        <v>113</v>
      </c>
      <c r="V22" s="268"/>
      <c r="W22" s="268"/>
      <c r="X22" s="268"/>
      <c r="Y22" s="270">
        <v>1</v>
      </c>
      <c r="Z22" s="271"/>
      <c r="AA22" s="234"/>
      <c r="AB22" s="268" t="s">
        <v>268</v>
      </c>
      <c r="AC22" s="268"/>
      <c r="AD22" s="268"/>
      <c r="AE22" s="234"/>
      <c r="AF22" s="270">
        <v>1</v>
      </c>
      <c r="AG22" s="271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5"/>
      <c r="BD22" s="431"/>
      <c r="BE22" s="252"/>
      <c r="BF22" s="282"/>
      <c r="BG22" s="10">
        <f>IFERROR(IF(ISBLANK(I27),IF(ISBLANK(Q27),IF(ISBLANK(AI27),(BH21*BK21)/2,IF(ISBLANK(AL27),IF(ISBLANK(W27),SQRT(1*(BH21*BO21)),(2*BO21)/BK21),IF(ISBLANK(AL27),2*((BO21*2)/BN21),(BP21+(BO21*2)+(BQ21*2))/BN21))),IF(ISBLANK(AF27),IF(ISBLANK(W27),IF(ISBLANK(Z27),SQRT(BH21 *BJ21),(SQRT((BH21^2*BI21^2*BL21^2)+((2*BH21*BI21^2)+(2*BH21^2*BI21))*BJ21*2)-(BH21*BI21*BL21))/((BI21+BH21)*2)),IF(ISBLANK(Z27),2*(BJ21/(BK21*2)),BJ21/((BK21/2)+BL21+(BM21/2)))),IF(ISBLANK(Z27),IF(ISBLANK(K27),IF(ISBLANK(AL27),((4*(BJ21/BN21^2)*2)/2)*0.5*(BN21+SQRT(ROUND(BN21^2-4*(2/(4*(BJ21/BN21^2)*2))*BJ21,5))),(BJ21+(BJ21-BP21))/BN21),2*BJ21/(BN21+SQRT(BN21^2-(((2*BJ21)/(BI21/2))+((2*BJ21)/(BH21/2)))))),BJ21/(BL21+((BN21-BL21)*0.5))))),IF(ISBLANK(AF27),BG21,IF(BG21&gt;CA21,CA21,BG21))),100)</f>
        <v>1.6</v>
      </c>
      <c r="BH22" s="247">
        <f>IFERROR(IF(ISBLANK(K27),IF(ISBLANK(W27),IF(ISBLANK(AI27),IF(ISBLANK(AF27),IF(ISBLANK(Q27),IF(ISBLANK(AL27),(3*(BG22/(BL21*3)))*2,(BG22^2/(BP21))*2),IF(ISBLANK(AL27),(2*(BG22^2/BJ21))*2,(BG22^2/(BJ21-BP21))*2)),IF(ISBLANK(Q27),IF(ISBLANK(Z27),(3*(BG22/BN21))*2,(BG22/((BN21-BL21)/2))*2),(BG22^2/((BG22*BN21)-BJ21))*2)),(BG22^2/(2*BO21))*2),(BG22/BK21)*2),BH21),0)</f>
        <v>426.66666666666674</v>
      </c>
      <c r="BI22" s="247">
        <f>IFERROR(IF(ISBLANK(K27),IF(ISBLANK(W27),IF(ISBLANK(AI27),IF(ISBLANK(AF27),IF(ISBLANK(Q27),IF(ISBLANK(AL27),(3*(BG22/(BL21*3)))*2,(BG22^2/(BP21))*2),IF(ISBLANK(AL27),(2*(BG22^2/BJ21))*2,(BG22^2/(BJ21-BP21))*2)),IF(ISBLANK(Q27),IF(ISBLANK(Z27),(3*(BG22/BN21))*2,(BG22/((BN21-BL21)/2))*2),(BG22^2/((BG22*BN21)-BJ21))*2)),(BG22^2/(2*BQ21))*2),(BG22/BM21)*2),BI21),BH22)</f>
        <v>426.66666666666674</v>
      </c>
      <c r="BJ22" s="247">
        <f>IFERROR(ABS(IF(ISBLANK(Q27),IF(ISBLANK(AI27),IF(ISBLANK(W27),2*(BG22^2/(((BH22/2)+(BI22/2))/2)),(BG22*BL21)+((BK21*BG22)/2)+((BG22*BM21)/2)),BO21+BP21+BQ21),BJ21)),0)</f>
        <v>1.2E-2</v>
      </c>
      <c r="BK22" s="247">
        <f>IFERROR(IF(ISBLANK(W27),BV21*2,BK21),0)</f>
        <v>7.4999999999999989E-3</v>
      </c>
      <c r="BL22" s="247">
        <f>IFERROR(IF(ISBLANK(Z27),(BT21-BO22)/BG22+(BJ22-BT21-BQ22)/BU21,BL21),0)</f>
        <v>0</v>
      </c>
      <c r="BM22" s="8">
        <f>IFERROR(IF(ISBLANK(AC27),BX21*2,BM21),0)</f>
        <v>7.4999999999999989E-3</v>
      </c>
      <c r="BN22" s="8">
        <f>IFERROR(IF(ISBLANK(AF27),BM22+BL22+BK22,BN21),0)</f>
        <v>1.4999999999999999E-2</v>
      </c>
      <c r="BO22" s="247">
        <f>IFERROR(IF(ISBLANK(AI27),IF((BJ22/(1+BI22^-1*BH22))&gt;BS21,BS21,(BJ22/(1+BI22^-1*BH22))),BO21),0)</f>
        <v>6.0000000000000001E-3</v>
      </c>
      <c r="BP22" s="247">
        <f>IFERROR(BL22*BU21,0)</f>
        <v>0</v>
      </c>
      <c r="BQ22" s="8">
        <f>IFERROR(IF(ISBLANK(AO27),IF((BJ22/(BI22*BH22^-1+1))&gt;(1*(BG22^2/BI22)),(1*(BG22^2/BI22)),(BJ22/(BI22*BH22^-1+1))),BQ21),0)</f>
        <v>6.0000000000000001E-3</v>
      </c>
      <c r="BR22" s="247"/>
    </row>
    <row r="23" spans="1:85" ht="7.5" customHeight="1" thickBot="1">
      <c r="A23" s="412"/>
      <c r="B23" s="388"/>
      <c r="C23" s="389"/>
      <c r="D23" s="389"/>
      <c r="E23" s="389"/>
      <c r="F23" s="389"/>
      <c r="G23" s="390"/>
      <c r="H23" s="397"/>
      <c r="I23" s="398"/>
      <c r="J23" s="399"/>
      <c r="K23" s="404"/>
      <c r="L23" s="404"/>
      <c r="M23" s="405"/>
      <c r="N23" s="236"/>
      <c r="O23" s="237"/>
      <c r="P23" s="267"/>
      <c r="Q23" s="267"/>
      <c r="R23" s="267"/>
      <c r="S23" s="267"/>
      <c r="T23" s="237"/>
      <c r="U23" s="269"/>
      <c r="V23" s="269"/>
      <c r="W23" s="269"/>
      <c r="X23" s="269"/>
      <c r="Y23" s="272"/>
      <c r="Z23" s="273"/>
      <c r="AA23" s="237"/>
      <c r="AB23" s="269"/>
      <c r="AC23" s="269"/>
      <c r="AD23" s="269"/>
      <c r="AE23" s="237"/>
      <c r="AF23" s="272"/>
      <c r="AG23" s="273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8"/>
      <c r="BD23" s="431"/>
      <c r="BE23" s="252"/>
      <c r="BF23" s="282"/>
    </row>
    <row r="24" spans="1:85" ht="7.5" customHeight="1">
      <c r="A24" s="412"/>
      <c r="B24" s="348" t="s">
        <v>139</v>
      </c>
      <c r="C24" s="348"/>
      <c r="D24" s="348"/>
      <c r="E24" s="381" t="s">
        <v>116</v>
      </c>
      <c r="F24" s="381"/>
      <c r="G24" s="291" t="s">
        <v>158</v>
      </c>
      <c r="H24" s="292"/>
      <c r="I24" s="293" t="s">
        <v>159</v>
      </c>
      <c r="J24" s="292"/>
      <c r="K24" s="408" t="s">
        <v>114</v>
      </c>
      <c r="L24" s="408"/>
      <c r="M24" s="408"/>
      <c r="N24" s="337" t="s">
        <v>115</v>
      </c>
      <c r="O24" s="337"/>
      <c r="P24" s="337"/>
      <c r="Q24" s="337" t="s">
        <v>106</v>
      </c>
      <c r="R24" s="337"/>
      <c r="S24" s="337"/>
      <c r="T24" s="337" t="s">
        <v>160</v>
      </c>
      <c r="U24" s="337"/>
      <c r="V24" s="337"/>
      <c r="W24" s="337" t="s">
        <v>107</v>
      </c>
      <c r="X24" s="337"/>
      <c r="Y24" s="337"/>
      <c r="Z24" s="337" t="s">
        <v>108</v>
      </c>
      <c r="AA24" s="337"/>
      <c r="AB24" s="337"/>
      <c r="AC24" s="337" t="s">
        <v>109</v>
      </c>
      <c r="AD24" s="337"/>
      <c r="AE24" s="337"/>
      <c r="AF24" s="337" t="s">
        <v>104</v>
      </c>
      <c r="AG24" s="337"/>
      <c r="AH24" s="337"/>
      <c r="AI24" s="337" t="s">
        <v>110</v>
      </c>
      <c r="AJ24" s="337"/>
      <c r="AK24" s="337"/>
      <c r="AL24" s="337" t="s">
        <v>111</v>
      </c>
      <c r="AM24" s="337"/>
      <c r="AN24" s="337"/>
      <c r="AO24" s="337" t="s">
        <v>112</v>
      </c>
      <c r="AP24" s="337"/>
      <c r="AQ24" s="354"/>
      <c r="AR24" s="285">
        <v>1</v>
      </c>
      <c r="AS24" s="3"/>
      <c r="AT24" s="3"/>
      <c r="AU24" s="3"/>
      <c r="AV24" s="3"/>
      <c r="AW24" s="3"/>
      <c r="AX24" s="3"/>
      <c r="AY24" s="3"/>
      <c r="AZ24" s="3"/>
      <c r="BA24" s="4"/>
      <c r="BB24" s="4"/>
      <c r="BC24" s="4"/>
      <c r="BD24" s="431"/>
      <c r="BE24" s="252"/>
      <c r="BF24" s="282">
        <v>2</v>
      </c>
      <c r="BG24" s="10" t="s">
        <v>140</v>
      </c>
      <c r="BH24" s="10">
        <v>0</v>
      </c>
      <c r="BI24" s="10">
        <f t="shared" ref="BI24:CG24" si="5">($BN$32/25)+BH24</f>
        <v>5.9999999999999995E-4</v>
      </c>
      <c r="BJ24" s="10">
        <f t="shared" si="5"/>
        <v>1.1999999999999999E-3</v>
      </c>
      <c r="BK24" s="10">
        <f t="shared" si="5"/>
        <v>1.8E-3</v>
      </c>
      <c r="BL24" s="10">
        <f t="shared" si="5"/>
        <v>2.3999999999999998E-3</v>
      </c>
      <c r="BM24" s="10">
        <f t="shared" si="5"/>
        <v>2.9999999999999996E-3</v>
      </c>
      <c r="BN24" s="10">
        <f t="shared" si="5"/>
        <v>3.5999999999999995E-3</v>
      </c>
      <c r="BO24" s="10">
        <f t="shared" si="5"/>
        <v>4.1999999999999997E-3</v>
      </c>
      <c r="BP24" s="10">
        <f t="shared" si="5"/>
        <v>4.7999999999999996E-3</v>
      </c>
      <c r="BQ24" s="10">
        <f t="shared" si="5"/>
        <v>5.3999999999999994E-3</v>
      </c>
      <c r="BR24" s="10">
        <f t="shared" si="5"/>
        <v>5.9999999999999993E-3</v>
      </c>
      <c r="BS24" s="10">
        <f t="shared" si="5"/>
        <v>6.5999999999999991E-3</v>
      </c>
      <c r="BT24" s="10">
        <f t="shared" si="5"/>
        <v>7.1999999999999989E-3</v>
      </c>
      <c r="BU24" s="10">
        <f t="shared" si="5"/>
        <v>7.7999999999999988E-3</v>
      </c>
      <c r="BV24" s="10">
        <f t="shared" si="5"/>
        <v>8.3999999999999995E-3</v>
      </c>
      <c r="BW24" s="10">
        <f t="shared" si="5"/>
        <v>8.9999999999999993E-3</v>
      </c>
      <c r="BX24" s="10">
        <f t="shared" si="5"/>
        <v>9.5999999999999992E-3</v>
      </c>
      <c r="BY24" s="10">
        <f t="shared" si="5"/>
        <v>1.0199999999999999E-2</v>
      </c>
      <c r="BZ24" s="10">
        <f t="shared" si="5"/>
        <v>1.0799999999999999E-2</v>
      </c>
      <c r="CA24" s="10">
        <f t="shared" si="5"/>
        <v>1.1399999999999999E-2</v>
      </c>
      <c r="CB24" s="10">
        <f t="shared" si="5"/>
        <v>1.1999999999999999E-2</v>
      </c>
      <c r="CC24" s="10">
        <f t="shared" si="5"/>
        <v>1.2599999999999998E-2</v>
      </c>
      <c r="CD24" s="10">
        <f t="shared" si="5"/>
        <v>1.3199999999999998E-2</v>
      </c>
      <c r="CE24" s="10">
        <f t="shared" si="5"/>
        <v>1.3799999999999998E-2</v>
      </c>
      <c r="CF24" s="10">
        <f t="shared" si="5"/>
        <v>1.4399999999999998E-2</v>
      </c>
      <c r="CG24" s="10">
        <f t="shared" si="5"/>
        <v>1.4999999999999998E-2</v>
      </c>
    </row>
    <row r="25" spans="1:85" ht="7.5" customHeight="1">
      <c r="A25" s="412"/>
      <c r="B25" s="349"/>
      <c r="C25" s="349"/>
      <c r="D25" s="349"/>
      <c r="E25" s="382"/>
      <c r="F25" s="382"/>
      <c r="G25" s="293"/>
      <c r="H25" s="292"/>
      <c r="I25" s="293"/>
      <c r="J25" s="292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55"/>
      <c r="AR25" s="286"/>
      <c r="AS25" s="3"/>
      <c r="AT25" s="3"/>
      <c r="AU25" s="3"/>
      <c r="AV25" s="3"/>
      <c r="AW25" s="3"/>
      <c r="AX25" s="3"/>
      <c r="AY25" s="3"/>
      <c r="AZ25" s="3"/>
      <c r="BA25" s="4"/>
      <c r="BB25" s="4"/>
      <c r="BC25" s="4"/>
      <c r="BD25" s="431"/>
      <c r="BE25" s="252"/>
      <c r="BF25" s="282"/>
      <c r="BG25" s="10" t="s">
        <v>3</v>
      </c>
      <c r="BH25" s="10">
        <v>0</v>
      </c>
      <c r="BI25" s="249">
        <f t="shared" ref="BI25:CG25" si="6">IF($E$30,IF(IF($BW$31&lt;BI24,$BN$32-BI24,BI24)&lt;=0,0,IF(IF($BW$31&lt;BI24,$BN$32-BI24,BI24)&lt;=IF(BI24&gt;$BW$31,$BM$32,$BK$32),((IF(BI24&gt;$BW$31,$BM$32,$BK$32)*$BU$31)/(4*PI()^2))*((2*PI())/IF(BI24&gt;$BW$31,$BM$32,$BK$32))*(((2*PI())/IF(BI24&gt;$BW$31,$BM$32,$BK$32))*IF($BW$31&lt;BI24,$BN$32-BI24,BI24)-SIN(((2*PI())/IF(BI24&gt;$BW$31,$BM$32,$BK$32))*IF($BW$31&lt;BI24,$BN$32-BI24,BI24))),$BU$31)),0)*IF($G$30="+",1,-1)</f>
        <v>-5.3224342624480156E-3</v>
      </c>
      <c r="BJ25" s="249">
        <f t="shared" si="6"/>
        <v>-4.0993659305326009E-2</v>
      </c>
      <c r="BK25" s="249">
        <f t="shared" si="6"/>
        <v>-0.12985458053249277</v>
      </c>
      <c r="BL25" s="249">
        <f t="shared" si="6"/>
        <v>-0.28158768313082122</v>
      </c>
      <c r="BM25" s="249">
        <f t="shared" si="6"/>
        <v>-0.49032171459381768</v>
      </c>
      <c r="BN25" s="249">
        <f t="shared" si="6"/>
        <v>-0.7360841541512797</v>
      </c>
      <c r="BO25" s="249">
        <f t="shared" si="6"/>
        <v>-0.98974214757321499</v>
      </c>
      <c r="BP25" s="249">
        <f t="shared" si="6"/>
        <v>-1.220209586088852</v>
      </c>
      <c r="BQ25" s="249">
        <f t="shared" si="6"/>
        <v>-1.4021373943833901</v>
      </c>
      <c r="BR25" s="249">
        <f t="shared" si="6"/>
        <v>-1.5221845531650102</v>
      </c>
      <c r="BS25" s="249">
        <f t="shared" si="6"/>
        <v>-1.5823184891004833</v>
      </c>
      <c r="BT25" s="249">
        <f t="shared" si="6"/>
        <v>-1.5993283597428036</v>
      </c>
      <c r="BU25" s="249">
        <f t="shared" si="6"/>
        <v>-1.5993283597428036</v>
      </c>
      <c r="BV25" s="249">
        <f t="shared" si="6"/>
        <v>-1.5823184891004833</v>
      </c>
      <c r="BW25" s="249">
        <f t="shared" si="6"/>
        <v>-1.5221845531650104</v>
      </c>
      <c r="BX25" s="249">
        <f t="shared" si="6"/>
        <v>-1.4021373943833904</v>
      </c>
      <c r="BY25" s="249">
        <f t="shared" si="6"/>
        <v>-1.220209586088852</v>
      </c>
      <c r="BZ25" s="249">
        <f t="shared" si="6"/>
        <v>-0.98974214757321544</v>
      </c>
      <c r="CA25" s="249">
        <f t="shared" si="6"/>
        <v>-0.73608415415128015</v>
      </c>
      <c r="CB25" s="249">
        <f t="shared" si="6"/>
        <v>-0.49032171459381813</v>
      </c>
      <c r="CC25" s="249">
        <f t="shared" si="6"/>
        <v>-0.28158768313082161</v>
      </c>
      <c r="CD25" s="249">
        <f t="shared" si="6"/>
        <v>-0.12985458053249302</v>
      </c>
      <c r="CE25" s="249">
        <f t="shared" si="6"/>
        <v>-4.099365930532612E-2</v>
      </c>
      <c r="CF25" s="249">
        <f t="shared" si="6"/>
        <v>-5.3224342624480581E-3</v>
      </c>
      <c r="CG25" s="249">
        <f t="shared" si="6"/>
        <v>0</v>
      </c>
    </row>
    <row r="26" spans="1:85" ht="7.5" customHeight="1" thickBot="1">
      <c r="A26" s="412"/>
      <c r="B26" s="350"/>
      <c r="C26" s="350"/>
      <c r="D26" s="350"/>
      <c r="E26" s="383"/>
      <c r="F26" s="383"/>
      <c r="G26" s="294"/>
      <c r="H26" s="295"/>
      <c r="I26" s="294"/>
      <c r="J26" s="295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56"/>
      <c r="AR26" s="286"/>
      <c r="AS26" s="3"/>
      <c r="AT26" s="3"/>
      <c r="AU26" s="3"/>
      <c r="AV26" s="3"/>
      <c r="AW26" s="3"/>
      <c r="AX26" s="3"/>
      <c r="AY26" s="3"/>
      <c r="AZ26" s="3"/>
      <c r="BA26" s="4"/>
      <c r="BB26" s="4"/>
      <c r="BC26" s="4"/>
      <c r="BD26" s="431"/>
      <c r="BE26" s="252"/>
      <c r="BF26" s="282"/>
      <c r="BG26" s="229" t="s">
        <v>5</v>
      </c>
      <c r="BH26" s="7">
        <f>IFERROR((BI25-BH25)/$BG$7,0)</f>
        <v>-8.870723770746693</v>
      </c>
      <c r="BI26" s="7">
        <f t="shared" ref="BI26:CF26" si="7">IFERROR((BJ25-BI25)/$BG$7,0)</f>
        <v>-59.452041738129992</v>
      </c>
      <c r="BJ26" s="7">
        <f t="shared" si="7"/>
        <v>-148.10153537861129</v>
      </c>
      <c r="BK26" s="7">
        <f t="shared" si="7"/>
        <v>-252.88850433054745</v>
      </c>
      <c r="BL26" s="7">
        <f t="shared" si="7"/>
        <v>-347.89005243832747</v>
      </c>
      <c r="BM26" s="7">
        <f t="shared" si="7"/>
        <v>-409.6040659291034</v>
      </c>
      <c r="BN26" s="7">
        <f t="shared" si="7"/>
        <v>-422.76332236989219</v>
      </c>
      <c r="BO26" s="7">
        <f t="shared" si="7"/>
        <v>-384.11239752606173</v>
      </c>
      <c r="BP26" s="7">
        <f t="shared" si="7"/>
        <v>-303.21301382423025</v>
      </c>
      <c r="BQ26" s="7">
        <f t="shared" si="7"/>
        <v>-200.07859796936683</v>
      </c>
      <c r="BR26" s="7">
        <f t="shared" si="7"/>
        <v>-100.22322655912187</v>
      </c>
      <c r="BS26" s="7">
        <f t="shared" si="7"/>
        <v>-28.349784403867154</v>
      </c>
      <c r="BT26" s="7">
        <f t="shared" si="7"/>
        <v>0</v>
      </c>
      <c r="BU26" s="7">
        <f t="shared" si="7"/>
        <v>28.349784403867154</v>
      </c>
      <c r="BV26" s="7">
        <f t="shared" si="7"/>
        <v>100.2232265591215</v>
      </c>
      <c r="BW26" s="7">
        <f t="shared" si="7"/>
        <v>200.07859796936683</v>
      </c>
      <c r="BX26" s="7">
        <f t="shared" si="7"/>
        <v>303.21301382423064</v>
      </c>
      <c r="BY26" s="7">
        <f t="shared" si="7"/>
        <v>384.11239752606099</v>
      </c>
      <c r="BZ26" s="7">
        <f t="shared" si="7"/>
        <v>422.76332236989219</v>
      </c>
      <c r="CA26" s="7">
        <f t="shared" si="7"/>
        <v>409.6040659291034</v>
      </c>
      <c r="CB26" s="7">
        <f t="shared" si="7"/>
        <v>347.89005243832753</v>
      </c>
      <c r="CC26" s="7">
        <f t="shared" si="7"/>
        <v>252.88850433054768</v>
      </c>
      <c r="CD26" s="7">
        <f t="shared" si="7"/>
        <v>148.10153537861152</v>
      </c>
      <c r="CE26" s="7">
        <f t="shared" si="7"/>
        <v>59.452041738130113</v>
      </c>
      <c r="CF26" s="7">
        <f t="shared" si="7"/>
        <v>8.8707237707467641</v>
      </c>
    </row>
    <row r="27" spans="1:85" ht="7.5" customHeight="1">
      <c r="A27" s="412"/>
      <c r="B27" s="348">
        <v>1</v>
      </c>
      <c r="C27" s="348"/>
      <c r="D27" s="348"/>
      <c r="E27" s="384">
        <v>1</v>
      </c>
      <c r="F27" s="385"/>
      <c r="G27" s="296" t="s">
        <v>136</v>
      </c>
      <c r="H27" s="297"/>
      <c r="I27" s="296"/>
      <c r="J27" s="297"/>
      <c r="K27" s="340"/>
      <c r="L27" s="340"/>
      <c r="M27" s="340"/>
      <c r="N27" s="340"/>
      <c r="O27" s="340"/>
      <c r="P27" s="340"/>
      <c r="Q27" s="340">
        <v>12</v>
      </c>
      <c r="R27" s="340"/>
      <c r="S27" s="340"/>
      <c r="T27" s="340">
        <v>1.06</v>
      </c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>
        <v>1.4999999999999999E-2</v>
      </c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52"/>
      <c r="AR27" s="287"/>
      <c r="AS27" s="3"/>
      <c r="AT27" s="3"/>
      <c r="AU27" s="3"/>
      <c r="AV27" s="3"/>
      <c r="AW27" s="3"/>
      <c r="AX27" s="3"/>
      <c r="AY27" s="3"/>
      <c r="AZ27" s="3"/>
      <c r="BA27" s="4"/>
      <c r="BB27" s="4"/>
      <c r="BC27" s="4"/>
      <c r="BD27" s="431"/>
      <c r="BE27" s="252"/>
      <c r="BF27" s="282"/>
      <c r="BG27" s="229" t="s">
        <v>146</v>
      </c>
      <c r="BH27" s="229">
        <f t="shared" ref="BH27:CF27" si="8">((BH26)^2)*$BG$7</f>
        <v>4.7213844130134255E-2</v>
      </c>
      <c r="BI27" s="229">
        <f t="shared" si="8"/>
        <v>2.1207271600994102</v>
      </c>
      <c r="BJ27" s="229">
        <f t="shared" si="8"/>
        <v>13.160438868901229</v>
      </c>
      <c r="BK27" s="229">
        <f t="shared" si="8"/>
        <v>38.371557373524787</v>
      </c>
      <c r="BL27" s="229">
        <f t="shared" si="8"/>
        <v>72.616493151325329</v>
      </c>
      <c r="BM27" s="229">
        <f t="shared" si="8"/>
        <v>100.66529449539196</v>
      </c>
      <c r="BN27" s="229">
        <f t="shared" si="8"/>
        <v>107.23729604473763</v>
      </c>
      <c r="BO27" s="229">
        <f t="shared" si="8"/>
        <v>88.525400359931567</v>
      </c>
      <c r="BP27" s="229">
        <f t="shared" si="8"/>
        <v>55.162879051423694</v>
      </c>
      <c r="BQ27" s="229">
        <f t="shared" si="8"/>
        <v>24.018867219232508</v>
      </c>
      <c r="BR27" s="229">
        <f t="shared" si="8"/>
        <v>6.0268170851526417</v>
      </c>
      <c r="BS27" s="229">
        <f t="shared" si="8"/>
        <v>0.48222616544744956</v>
      </c>
      <c r="BT27" s="229">
        <f t="shared" si="8"/>
        <v>0</v>
      </c>
      <c r="BU27" s="229">
        <f t="shared" si="8"/>
        <v>0.48222616544744956</v>
      </c>
      <c r="BV27" s="229">
        <f t="shared" si="8"/>
        <v>6.0268170851525973</v>
      </c>
      <c r="BW27" s="229">
        <f t="shared" si="8"/>
        <v>24.018867219232508</v>
      </c>
      <c r="BX27" s="229">
        <f t="shared" si="8"/>
        <v>55.162879051423843</v>
      </c>
      <c r="BY27" s="229">
        <f t="shared" si="8"/>
        <v>88.525400359931211</v>
      </c>
      <c r="BZ27" s="229">
        <f t="shared" si="8"/>
        <v>107.23729604473763</v>
      </c>
      <c r="CA27" s="229">
        <f t="shared" si="8"/>
        <v>100.66529449539196</v>
      </c>
      <c r="CB27" s="229">
        <f t="shared" si="8"/>
        <v>72.616493151325358</v>
      </c>
      <c r="CC27" s="229">
        <f t="shared" si="8"/>
        <v>38.371557373524858</v>
      </c>
      <c r="CD27" s="229">
        <f t="shared" si="8"/>
        <v>13.16043886890127</v>
      </c>
      <c r="CE27" s="229">
        <f t="shared" si="8"/>
        <v>2.1207271600994191</v>
      </c>
      <c r="CF27" s="229">
        <f t="shared" si="8"/>
        <v>4.7213844130135012E-2</v>
      </c>
    </row>
    <row r="28" spans="1:85" ht="7.5" customHeight="1">
      <c r="A28" s="412"/>
      <c r="B28" s="349"/>
      <c r="C28" s="349"/>
      <c r="D28" s="349"/>
      <c r="E28" s="386"/>
      <c r="F28" s="387"/>
      <c r="G28" s="298"/>
      <c r="H28" s="299"/>
      <c r="I28" s="298"/>
      <c r="J28" s="299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53"/>
      <c r="AR28" s="287"/>
      <c r="AS28" s="5"/>
      <c r="AT28" s="5"/>
      <c r="AU28" s="3"/>
      <c r="AV28" s="5"/>
      <c r="AW28" s="5"/>
      <c r="AX28" s="5"/>
      <c r="AY28" s="5"/>
      <c r="AZ28" s="5"/>
      <c r="BA28" s="6"/>
      <c r="BB28" s="6"/>
      <c r="BC28" s="6"/>
      <c r="BD28" s="431"/>
      <c r="BE28" s="252"/>
      <c r="BF28" s="282"/>
      <c r="BG28" s="229" t="s">
        <v>98</v>
      </c>
      <c r="BH28" s="229">
        <f>CF18</f>
        <v>1.2000101707235929E-2</v>
      </c>
      <c r="BI28" s="229">
        <f t="shared" ref="BI28:CF28" si="9">(BI25*$BG$5)+BH28</f>
        <v>1.1996908246678459E-2</v>
      </c>
      <c r="BJ28" s="229">
        <f t="shared" si="9"/>
        <v>1.1972312051095264E-2</v>
      </c>
      <c r="BK28" s="229">
        <f t="shared" si="9"/>
        <v>1.1894399302775768E-2</v>
      </c>
      <c r="BL28" s="229">
        <f t="shared" si="9"/>
        <v>1.1725446692897275E-2</v>
      </c>
      <c r="BM28" s="229">
        <f t="shared" si="9"/>
        <v>1.1431253664140984E-2</v>
      </c>
      <c r="BN28" s="229">
        <f t="shared" si="9"/>
        <v>1.0989603171650217E-2</v>
      </c>
      <c r="BO28" s="229">
        <f t="shared" si="9"/>
        <v>1.0395757883106288E-2</v>
      </c>
      <c r="BP28" s="229">
        <f t="shared" si="9"/>
        <v>9.6636321314529771E-3</v>
      </c>
      <c r="BQ28" s="229">
        <f t="shared" si="9"/>
        <v>8.8223496948229424E-3</v>
      </c>
      <c r="BR28" s="229">
        <f t="shared" si="9"/>
        <v>7.9090389629239369E-3</v>
      </c>
      <c r="BS28" s="229">
        <f t="shared" si="9"/>
        <v>6.9596478694636471E-3</v>
      </c>
      <c r="BT28" s="229">
        <f t="shared" si="9"/>
        <v>6.0000508536179652E-3</v>
      </c>
      <c r="BU28" s="229">
        <f t="shared" si="9"/>
        <v>5.0404538377722833E-3</v>
      </c>
      <c r="BV28" s="229">
        <f t="shared" si="9"/>
        <v>4.0910627443119935E-3</v>
      </c>
      <c r="BW28" s="229">
        <f t="shared" si="9"/>
        <v>3.1777520124129871E-3</v>
      </c>
      <c r="BX28" s="229">
        <f t="shared" si="9"/>
        <v>2.3364695757829529E-3</v>
      </c>
      <c r="BY28" s="229">
        <f t="shared" si="9"/>
        <v>1.6043438241296417E-3</v>
      </c>
      <c r="BZ28" s="229">
        <f t="shared" si="9"/>
        <v>1.0104985355857126E-3</v>
      </c>
      <c r="CA28" s="229">
        <f t="shared" si="9"/>
        <v>5.6884804309494455E-4</v>
      </c>
      <c r="CB28" s="229">
        <f t="shared" si="9"/>
        <v>2.746550143386537E-4</v>
      </c>
      <c r="CC28" s="229">
        <f t="shared" si="9"/>
        <v>1.0570240446016076E-4</v>
      </c>
      <c r="CD28" s="229">
        <f t="shared" si="9"/>
        <v>2.7789656140664955E-5</v>
      </c>
      <c r="CE28" s="229">
        <f t="shared" si="9"/>
        <v>3.1934605574692859E-6</v>
      </c>
      <c r="CF28" s="229">
        <f t="shared" si="9"/>
        <v>4.5146856088654208E-19</v>
      </c>
    </row>
    <row r="29" spans="1:85" ht="7.5" customHeight="1" thickBot="1">
      <c r="A29" s="412"/>
      <c r="B29" s="350"/>
      <c r="C29" s="350"/>
      <c r="D29" s="350"/>
      <c r="E29" s="386"/>
      <c r="F29" s="387"/>
      <c r="G29" s="300"/>
      <c r="H29" s="301"/>
      <c r="I29" s="300"/>
      <c r="J29" s="30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53"/>
      <c r="AR29" s="287"/>
      <c r="AS29" s="5"/>
      <c r="AT29" s="5"/>
      <c r="AU29" s="3"/>
      <c r="AV29" s="5"/>
      <c r="AW29" s="5"/>
      <c r="AX29" s="5"/>
      <c r="AY29" s="5"/>
      <c r="AZ29" s="5"/>
      <c r="BA29" s="6"/>
      <c r="BB29" s="6"/>
      <c r="BC29" s="6"/>
      <c r="BD29" s="431"/>
      <c r="BE29" s="252"/>
      <c r="BF29" s="282"/>
    </row>
    <row r="30" spans="1:85" ht="7.5" customHeight="1">
      <c r="A30" s="412"/>
      <c r="B30" s="348">
        <v>2</v>
      </c>
      <c r="C30" s="348"/>
      <c r="D30" s="348"/>
      <c r="E30" s="370">
        <v>1</v>
      </c>
      <c r="F30" s="371"/>
      <c r="G30" s="302" t="s">
        <v>137</v>
      </c>
      <c r="H30" s="303"/>
      <c r="I30" s="302"/>
      <c r="J30" s="303"/>
      <c r="K30" s="342"/>
      <c r="L30" s="342"/>
      <c r="M30" s="342"/>
      <c r="N30" s="342"/>
      <c r="O30" s="342"/>
      <c r="P30" s="342"/>
      <c r="Q30" s="342">
        <v>12</v>
      </c>
      <c r="R30" s="342"/>
      <c r="S30" s="342"/>
      <c r="T30" s="342">
        <v>1.06</v>
      </c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>
        <v>1.4999999999999999E-2</v>
      </c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57"/>
      <c r="AR30" s="287"/>
      <c r="AS30" s="5"/>
      <c r="AT30" s="5"/>
      <c r="AU30" s="3"/>
      <c r="AV30" s="5"/>
      <c r="AW30" s="5"/>
      <c r="AX30" s="5"/>
      <c r="AY30" s="5"/>
      <c r="AZ30" s="5"/>
      <c r="BA30" s="6"/>
      <c r="BB30" s="6"/>
      <c r="BC30" s="6"/>
      <c r="BD30" s="431"/>
      <c r="BE30" s="252"/>
      <c r="BF30" s="282"/>
      <c r="BG30" s="249" t="s">
        <v>105</v>
      </c>
      <c r="BH30" s="249" t="s">
        <v>114</v>
      </c>
      <c r="BI30" s="249" t="s">
        <v>115</v>
      </c>
      <c r="BJ30" s="249" t="s">
        <v>106</v>
      </c>
      <c r="BK30" s="249" t="s">
        <v>107</v>
      </c>
      <c r="BL30" s="249" t="s">
        <v>108</v>
      </c>
      <c r="BM30" s="249" t="s">
        <v>109</v>
      </c>
      <c r="BN30" s="249" t="s">
        <v>104</v>
      </c>
      <c r="BO30" s="249" t="s">
        <v>110</v>
      </c>
      <c r="BP30" s="249" t="s">
        <v>111</v>
      </c>
      <c r="BQ30" s="249" t="s">
        <v>112</v>
      </c>
      <c r="BR30" s="249" t="s">
        <v>135</v>
      </c>
      <c r="BS30" s="247" t="s">
        <v>126</v>
      </c>
      <c r="BT30" s="247" t="s">
        <v>127</v>
      </c>
      <c r="BU30" s="247" t="s">
        <v>128</v>
      </c>
      <c r="BV30" s="247" t="s">
        <v>129</v>
      </c>
      <c r="BW30" s="247" t="s">
        <v>130</v>
      </c>
      <c r="BX30" s="247" t="s">
        <v>131</v>
      </c>
      <c r="BY30" s="247" t="s">
        <v>132</v>
      </c>
      <c r="BZ30" s="247" t="s">
        <v>133</v>
      </c>
      <c r="CA30" s="247"/>
      <c r="CB30" s="247" t="s">
        <v>134</v>
      </c>
      <c r="CC30" s="247"/>
    </row>
    <row r="31" spans="1:85" ht="7.5" customHeight="1">
      <c r="A31" s="412"/>
      <c r="B31" s="349"/>
      <c r="C31" s="349"/>
      <c r="D31" s="349"/>
      <c r="E31" s="370"/>
      <c r="F31" s="371"/>
      <c r="G31" s="304"/>
      <c r="H31" s="305"/>
      <c r="I31" s="304"/>
      <c r="J31" s="305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57"/>
      <c r="AR31" s="289">
        <v>2</v>
      </c>
      <c r="AS31" s="5"/>
      <c r="AT31" s="5"/>
      <c r="AU31" s="3"/>
      <c r="AV31" s="5"/>
      <c r="AW31" s="5"/>
      <c r="AX31" s="5"/>
      <c r="AY31" s="5"/>
      <c r="AZ31" s="5"/>
      <c r="BA31" s="6"/>
      <c r="BB31" s="6"/>
      <c r="BC31" s="6"/>
      <c r="BD31" s="431"/>
      <c r="BE31" s="252"/>
      <c r="BF31" s="282"/>
      <c r="BG31" s="247">
        <f>IF(ISBLANK(I30),0,I30)</f>
        <v>0</v>
      </c>
      <c r="BH31" s="247">
        <f>IF(ISBLANK(K30),0,K30)</f>
        <v>0</v>
      </c>
      <c r="BI31" s="247">
        <f>IF(ISBLANK(N30),0,N30)</f>
        <v>0</v>
      </c>
      <c r="BJ31" s="247">
        <f>IF(ISBLANK(Q30),0,Q30)/1000</f>
        <v>1.2E-2</v>
      </c>
      <c r="BK31" s="8">
        <f>IF(ISBLANK(W30),0,W30)</f>
        <v>0</v>
      </c>
      <c r="BL31" s="8">
        <f>IF(ISBLANK(Z30),0,Z30)</f>
        <v>0</v>
      </c>
      <c r="BM31" s="8">
        <f>IF(ISBLANK(AC30),0,AC30)</f>
        <v>0</v>
      </c>
      <c r="BN31" s="8">
        <f>IF(ISBLANK(AF30),0,AF30)</f>
        <v>1.4999999999999999E-2</v>
      </c>
      <c r="BO31" s="247">
        <f>IF(ISBLANK(AI30),0,AI30)/1000</f>
        <v>0</v>
      </c>
      <c r="BP31" s="247">
        <f>IF(ISBLANK(AI30),0,AI30)/1000</f>
        <v>0</v>
      </c>
      <c r="BQ31" s="247">
        <f>IF(ISBLANK(AO30),0,AO30)/1000</f>
        <v>0</v>
      </c>
      <c r="BR31" s="247" t="str">
        <f>IF(ISBLANK(G30),0,G30)</f>
        <v>-</v>
      </c>
      <c r="BS31" s="247">
        <f>(BG32^2/BH32)</f>
        <v>6.0000000000000001E-3</v>
      </c>
      <c r="BT31" s="247">
        <f>BO32+((BJ32-(BO32+BQ32))/2)</f>
        <v>6.0000000000000001E-3</v>
      </c>
      <c r="BU31" s="247">
        <f>IF(BT31&gt;BS31,BG32,SQRT((BT31*BH32)/1))</f>
        <v>1.6</v>
      </c>
      <c r="BV31" s="247">
        <f>BU31/BH32</f>
        <v>3.7499999999999994E-3</v>
      </c>
      <c r="BW31" s="247">
        <f>BK32+(BL32/2)</f>
        <v>7.4999999999999989E-3</v>
      </c>
      <c r="BX31" s="8">
        <f>BU31/BI32</f>
        <v>3.7499999999999994E-3</v>
      </c>
      <c r="BY31" s="247">
        <f>((2*BJ32)/(BN31+SQRT(BN31^2-4*(2/BZ31)*BJ32)))</f>
        <v>1.5999999824388134</v>
      </c>
      <c r="BZ31" s="8">
        <f>IF((4*(BJ32/BN32^2)*2)&gt;(BH32+BI32)/2,(4*(BJ32/BN32^2)*2),(BH32+BI32)/2)</f>
        <v>426.66666666666674</v>
      </c>
      <c r="CA31" s="247">
        <f>IFERROR(2*(BJ32/BN31),100)</f>
        <v>1.6</v>
      </c>
      <c r="CB31" s="247">
        <f t="shared" ref="CB31" si="10">(1/2)*2</f>
        <v>1</v>
      </c>
      <c r="CC31" s="9">
        <f>BL32/BN32</f>
        <v>0</v>
      </c>
    </row>
    <row r="32" spans="1:85" ht="7.5" customHeight="1" thickBot="1">
      <c r="A32" s="412"/>
      <c r="B32" s="350"/>
      <c r="C32" s="350"/>
      <c r="D32" s="350"/>
      <c r="E32" s="370"/>
      <c r="F32" s="371"/>
      <c r="G32" s="306"/>
      <c r="H32" s="307"/>
      <c r="I32" s="306"/>
      <c r="J32" s="307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57"/>
      <c r="AR32" s="289"/>
      <c r="AS32" s="5"/>
      <c r="AT32" s="5"/>
      <c r="AU32" s="3"/>
      <c r="AV32" s="5"/>
      <c r="AW32" s="5"/>
      <c r="AX32" s="5"/>
      <c r="AY32" s="5"/>
      <c r="AZ32" s="5"/>
      <c r="BA32" s="6"/>
      <c r="BB32" s="6"/>
      <c r="BC32" s="6"/>
      <c r="BD32" s="431"/>
      <c r="BE32" s="252"/>
      <c r="BF32" s="282"/>
      <c r="BG32" s="10">
        <f>IFERROR(IF(ISBLANK(I30),IF(ISBLANK(Q30),IF(ISBLANK(AI30),(BH31*BK31)/2,IF(ISBLANK(AL30),IF(ISBLANK(W30),SQRT(1*(BH31*BO31)),(2*BO31)/BK31),IF(ISBLANK(AL30),2*((BO31*2)/BN31),(BP31+(BO31*2)+(BQ31*2))/BN31))),IF(ISBLANK(AF30),IF(ISBLANK(W30),IF(ISBLANK(Z30),SQRT(BH31 *BJ31),(SQRT((BH31^2*BI31^2*BL31^2)+((2*BH31*BI31^2)+(2*BH31^2*BI31))*BJ31*2)-(BH31*BI31*BL31))/((BI31+BH31)*2)),IF(ISBLANK(Z30),2*(BJ31/(BK31*2)),BJ31/((BK31/2)+BL31+(BM31/2)))),IF(ISBLANK(Z30),IF(ISBLANK(K30),IF(ISBLANK(AL30),((4*(BJ31/BN31^2)*2)/2)*0.5*(BN31+SQRT(ROUND(BN31^2-4*(2/(4*(BJ31/BN31^2)*2))*BJ31,5))),(BJ31+(BJ31-BP31))/BN31),2*BJ31/(BN31+SQRT(BN31^2-(((2*BJ31)/(BI31/2))+((2*BJ31)/(BH31/2)))))),BJ31/(BL31+((BN31-BL31)*0.5))))),IF(ISBLANK(AF30),BG31,IF(BG31&gt;CA31,CA31,BG31))),100)</f>
        <v>1.6</v>
      </c>
      <c r="BH32" s="247">
        <f>IFERROR(IF(ISBLANK(K30),IF(ISBLANK(W30),IF(ISBLANK(AI30),IF(ISBLANK(AF30),IF(ISBLANK(Q30),IF(ISBLANK(AL30),(3*(BG32/(BL31*3)))*2,(BG32^2/(BP31))*2),IF(ISBLANK(AL30),(2*(BG32^2/BJ31))*2,(BG32^2/(BJ31-BP31))*2)),IF(ISBLANK(Q30),IF(ISBLANK(Z30),(3*(BG32/BN31))*2,(BG32/((BN31-BL31)/2))*2),(BG32^2/((BG32*BN31)-BJ31))*2)),(BG32^2/(2*BO31))*2),(BG32/BK31)*2),BH31),0)</f>
        <v>426.66666666666674</v>
      </c>
      <c r="BI32" s="247">
        <f>IFERROR(IF(ISBLANK(K30),IF(ISBLANK(W30),IF(ISBLANK(AI30),IF(ISBLANK(AF30),IF(ISBLANK(Q30),IF(ISBLANK(AL30),(3*(BG32/(BL31*3)))*2,(BG32^2/(BP31))*2),IF(ISBLANK(AL30),(2*(BG32^2/BJ31))*2,(BG32^2/(BJ31-BP31))*2)),IF(ISBLANK(Q30),IF(ISBLANK(Z30),(3*(BG32/BN31))*2,(BG32/((BN31-BL31)/2))*2),(BG32^2/((BG32*BN31)-BJ31))*2)),(BG32^2/(2*BQ31))*2),(BG32/BM31)*2),BI31),BH32)</f>
        <v>426.66666666666674</v>
      </c>
      <c r="BJ32" s="247">
        <f>IFERROR(ABS(IF(ISBLANK(Q30),IF(ISBLANK(AI30),IF(ISBLANK(W30),2*(BG32^2/(((BH32/2)+(BI32/2))/2)),(BG32*BL31)+((BK31*BG32)/2)+((BG32*BM31)/2)),BO31+BP31+BQ31),BJ31)),0)</f>
        <v>1.2E-2</v>
      </c>
      <c r="BK32" s="247">
        <f>IFERROR(IF(ISBLANK(W30),BV31*2,BK31),0)</f>
        <v>7.4999999999999989E-3</v>
      </c>
      <c r="BL32" s="247">
        <f>IFERROR(IF(ISBLANK(Z30),(BT31-BO32)/BG32+(BJ32-BT31-BQ32)/BU31,BL31),0)</f>
        <v>0</v>
      </c>
      <c r="BM32" s="8">
        <f>IFERROR(IF(ISBLANK(AC30),BX31*2,BM31),0)</f>
        <v>7.4999999999999989E-3</v>
      </c>
      <c r="BN32" s="8">
        <f>IFERROR(IF(ISBLANK(AF30),BM32+BL32+BK32,BN31),0)</f>
        <v>1.4999999999999999E-2</v>
      </c>
      <c r="BO32" s="247">
        <f>IFERROR(IF(ISBLANK(AI30),IF((BJ32/(1+BI32^-1*BH32))&gt;BS31,BS31,(BJ32/(1+BI32^-1*BH32))),BO31),0)</f>
        <v>6.0000000000000001E-3</v>
      </c>
      <c r="BP32" s="247">
        <f>IFERROR(BL32*BU31,0)</f>
        <v>0</v>
      </c>
      <c r="BQ32" s="8">
        <f>IFERROR(IF(ISBLANK(AO30),IF((BJ32/(BI32*BH32^-1+1))&gt;(1*(BG32^2/BI32)),(1*(BG32^2/BI32)),(BJ32/(BI32*BH32^-1+1))),BQ31),0)</f>
        <v>6.0000000000000001E-3</v>
      </c>
      <c r="BR32" s="247"/>
    </row>
    <row r="33" spans="1:85" ht="7.5" customHeight="1">
      <c r="A33" s="412"/>
      <c r="B33" s="348">
        <v>3</v>
      </c>
      <c r="C33" s="348"/>
      <c r="D33" s="348"/>
      <c r="E33" s="372">
        <v>0</v>
      </c>
      <c r="F33" s="373"/>
      <c r="G33" s="308" t="s">
        <v>136</v>
      </c>
      <c r="H33" s="309"/>
      <c r="I33" s="308"/>
      <c r="J33" s="309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432"/>
      <c r="AR33" s="289"/>
      <c r="AS33" s="5"/>
      <c r="AT33" s="5"/>
      <c r="AU33" s="3"/>
      <c r="AV33" s="5"/>
      <c r="AW33" s="5"/>
      <c r="AX33" s="5"/>
      <c r="AY33" s="5"/>
      <c r="AZ33" s="5"/>
      <c r="BA33" s="6"/>
      <c r="BB33" s="6"/>
      <c r="BC33" s="6"/>
      <c r="BD33" s="431"/>
      <c r="BE33" s="252"/>
      <c r="BF33" s="282"/>
    </row>
    <row r="34" spans="1:85" ht="7.5" customHeight="1">
      <c r="A34" s="412"/>
      <c r="B34" s="349"/>
      <c r="C34" s="349"/>
      <c r="D34" s="349"/>
      <c r="E34" s="372"/>
      <c r="F34" s="373"/>
      <c r="G34" s="310"/>
      <c r="H34" s="311"/>
      <c r="I34" s="310"/>
      <c r="J34" s="311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432"/>
      <c r="AR34" s="289"/>
      <c r="AS34" s="6"/>
      <c r="AT34" s="6"/>
      <c r="AU34" s="3"/>
      <c r="AV34" s="6"/>
      <c r="AW34" s="6"/>
      <c r="AX34" s="6"/>
      <c r="AY34" s="6"/>
      <c r="AZ34" s="6"/>
      <c r="BA34" s="6"/>
      <c r="BB34" s="6"/>
      <c r="BC34" s="6"/>
      <c r="BD34" s="431"/>
      <c r="BE34" s="252"/>
      <c r="BF34" s="282">
        <v>3</v>
      </c>
      <c r="BG34" s="10" t="s">
        <v>140</v>
      </c>
      <c r="BH34" s="10">
        <v>0</v>
      </c>
      <c r="BI34" s="10">
        <f t="shared" ref="BI34:CG34" si="11">($BN$42/25)+BH34</f>
        <v>0</v>
      </c>
      <c r="BJ34" s="10">
        <f t="shared" si="11"/>
        <v>0</v>
      </c>
      <c r="BK34" s="10">
        <f t="shared" si="11"/>
        <v>0</v>
      </c>
      <c r="BL34" s="10">
        <f t="shared" si="11"/>
        <v>0</v>
      </c>
      <c r="BM34" s="10">
        <f t="shared" si="11"/>
        <v>0</v>
      </c>
      <c r="BN34" s="10">
        <f t="shared" si="11"/>
        <v>0</v>
      </c>
      <c r="BO34" s="10">
        <f t="shared" si="11"/>
        <v>0</v>
      </c>
      <c r="BP34" s="10">
        <f t="shared" si="11"/>
        <v>0</v>
      </c>
      <c r="BQ34" s="10">
        <f t="shared" si="11"/>
        <v>0</v>
      </c>
      <c r="BR34" s="10">
        <f t="shared" si="11"/>
        <v>0</v>
      </c>
      <c r="BS34" s="10">
        <f t="shared" si="11"/>
        <v>0</v>
      </c>
      <c r="BT34" s="10">
        <f t="shared" si="11"/>
        <v>0</v>
      </c>
      <c r="BU34" s="10">
        <f t="shared" si="11"/>
        <v>0</v>
      </c>
      <c r="BV34" s="10">
        <f t="shared" si="11"/>
        <v>0</v>
      </c>
      <c r="BW34" s="10">
        <f t="shared" si="11"/>
        <v>0</v>
      </c>
      <c r="BX34" s="10">
        <f t="shared" si="11"/>
        <v>0</v>
      </c>
      <c r="BY34" s="10">
        <f t="shared" si="11"/>
        <v>0</v>
      </c>
      <c r="BZ34" s="10">
        <f t="shared" si="11"/>
        <v>0</v>
      </c>
      <c r="CA34" s="10">
        <f t="shared" si="11"/>
        <v>0</v>
      </c>
      <c r="CB34" s="10">
        <f t="shared" si="11"/>
        <v>0</v>
      </c>
      <c r="CC34" s="10">
        <f t="shared" si="11"/>
        <v>0</v>
      </c>
      <c r="CD34" s="10">
        <f t="shared" si="11"/>
        <v>0</v>
      </c>
      <c r="CE34" s="10">
        <f t="shared" si="11"/>
        <v>0</v>
      </c>
      <c r="CF34" s="10">
        <f t="shared" si="11"/>
        <v>0</v>
      </c>
      <c r="CG34" s="10">
        <f t="shared" si="11"/>
        <v>0</v>
      </c>
    </row>
    <row r="35" spans="1:85" ht="7.5" customHeight="1" thickBot="1">
      <c r="A35" s="412"/>
      <c r="B35" s="350"/>
      <c r="C35" s="350"/>
      <c r="D35" s="350"/>
      <c r="E35" s="374"/>
      <c r="F35" s="375"/>
      <c r="G35" s="312"/>
      <c r="H35" s="313"/>
      <c r="I35" s="312"/>
      <c r="J35" s="313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433"/>
      <c r="AR35" s="289"/>
      <c r="AS35" s="6"/>
      <c r="AT35" s="6"/>
      <c r="AU35" s="3"/>
      <c r="AV35" s="6"/>
      <c r="AW35" s="6"/>
      <c r="AX35" s="6"/>
      <c r="AY35" s="6"/>
      <c r="AZ35" s="6"/>
      <c r="BA35" s="6"/>
      <c r="BB35" s="6"/>
      <c r="BC35" s="6"/>
      <c r="BD35" s="431"/>
      <c r="BF35" s="282"/>
      <c r="BG35" s="10" t="s">
        <v>3</v>
      </c>
      <c r="BH35" s="10">
        <v>0</v>
      </c>
      <c r="BI35" s="249">
        <f t="shared" ref="BI35:CG35" si="12">IF($E$33,IF(IF($BW$41&lt;BI34,$BN$42-BI34,BI34)&lt;=0,0,IF(IF($BW$41&lt;BI34,$BN$42-BI34,BI34)&lt;=IF(BI34&gt;$BW$41,$BM$42,$BK$42),((IF(BI34&gt;$BW$41,$BM$42,$BK$42)*$BU$41)/(4*PI()^2))*((2*PI())/IF(BI34&gt;$BW$41,$BM$42,$BK$42))*(((2*PI())/IF(BI34&gt;$BW$41,$BM$42,$BK$42))*IF($BW$41&lt;BI34,$BN$42-BI34,BI34)-SIN(((2*PI())/IF(BI34&gt;$BW$41,$BM$42,$BK$42))*IF($BW$41&lt;BI34,$BN$42-BI34,BI34))),$BU$41)),0)*IF($G$33="+",1,-1)</f>
        <v>0</v>
      </c>
      <c r="BJ35" s="249">
        <f t="shared" si="12"/>
        <v>0</v>
      </c>
      <c r="BK35" s="249">
        <f t="shared" si="12"/>
        <v>0</v>
      </c>
      <c r="BL35" s="249">
        <f t="shared" si="12"/>
        <v>0</v>
      </c>
      <c r="BM35" s="249">
        <f t="shared" si="12"/>
        <v>0</v>
      </c>
      <c r="BN35" s="249">
        <f t="shared" si="12"/>
        <v>0</v>
      </c>
      <c r="BO35" s="249">
        <f t="shared" si="12"/>
        <v>0</v>
      </c>
      <c r="BP35" s="249">
        <f t="shared" si="12"/>
        <v>0</v>
      </c>
      <c r="BQ35" s="249">
        <f t="shared" si="12"/>
        <v>0</v>
      </c>
      <c r="BR35" s="249">
        <f t="shared" si="12"/>
        <v>0</v>
      </c>
      <c r="BS35" s="249">
        <f t="shared" si="12"/>
        <v>0</v>
      </c>
      <c r="BT35" s="249">
        <f t="shared" si="12"/>
        <v>0</v>
      </c>
      <c r="BU35" s="249">
        <f t="shared" si="12"/>
        <v>0</v>
      </c>
      <c r="BV35" s="249">
        <f t="shared" si="12"/>
        <v>0</v>
      </c>
      <c r="BW35" s="249">
        <f t="shared" si="12"/>
        <v>0</v>
      </c>
      <c r="BX35" s="249">
        <f t="shared" si="12"/>
        <v>0</v>
      </c>
      <c r="BY35" s="249">
        <f t="shared" si="12"/>
        <v>0</v>
      </c>
      <c r="BZ35" s="249">
        <f t="shared" si="12"/>
        <v>0</v>
      </c>
      <c r="CA35" s="249">
        <f t="shared" si="12"/>
        <v>0</v>
      </c>
      <c r="CB35" s="249">
        <f t="shared" si="12"/>
        <v>0</v>
      </c>
      <c r="CC35" s="249">
        <f t="shared" si="12"/>
        <v>0</v>
      </c>
      <c r="CD35" s="249">
        <f t="shared" si="12"/>
        <v>0</v>
      </c>
      <c r="CE35" s="249">
        <f t="shared" si="12"/>
        <v>0</v>
      </c>
      <c r="CF35" s="249">
        <f t="shared" si="12"/>
        <v>0</v>
      </c>
      <c r="CG35" s="249">
        <f t="shared" si="12"/>
        <v>0</v>
      </c>
    </row>
    <row r="36" spans="1:85" ht="7.5" customHeight="1">
      <c r="A36" s="412"/>
      <c r="B36" s="333" t="s">
        <v>284</v>
      </c>
      <c r="C36" s="333"/>
      <c r="D36" s="333"/>
      <c r="E36" s="333"/>
      <c r="F36" s="333"/>
      <c r="G36" s="333"/>
      <c r="H36" s="334"/>
      <c r="I36" s="314" t="s">
        <v>103</v>
      </c>
      <c r="J36" s="315"/>
      <c r="K36" s="345" t="s">
        <v>117</v>
      </c>
      <c r="L36" s="346"/>
      <c r="M36" s="347"/>
      <c r="N36" s="345" t="s">
        <v>117</v>
      </c>
      <c r="O36" s="346"/>
      <c r="P36" s="347"/>
      <c r="Q36" s="345" t="s">
        <v>13</v>
      </c>
      <c r="R36" s="346"/>
      <c r="S36" s="347"/>
      <c r="T36" s="345" t="s">
        <v>102</v>
      </c>
      <c r="U36" s="346"/>
      <c r="V36" s="347"/>
      <c r="W36" s="345" t="s">
        <v>102</v>
      </c>
      <c r="X36" s="346"/>
      <c r="Y36" s="347"/>
      <c r="Z36" s="345" t="s">
        <v>102</v>
      </c>
      <c r="AA36" s="346"/>
      <c r="AB36" s="347"/>
      <c r="AC36" s="345" t="s">
        <v>102</v>
      </c>
      <c r="AD36" s="346"/>
      <c r="AE36" s="347"/>
      <c r="AF36" s="345" t="s">
        <v>102</v>
      </c>
      <c r="AG36" s="346"/>
      <c r="AH36" s="347"/>
      <c r="AI36" s="345" t="s">
        <v>13</v>
      </c>
      <c r="AJ36" s="346"/>
      <c r="AK36" s="347"/>
      <c r="AL36" s="345" t="s">
        <v>13</v>
      </c>
      <c r="AM36" s="346"/>
      <c r="AN36" s="347"/>
      <c r="AO36" s="345" t="s">
        <v>13</v>
      </c>
      <c r="AP36" s="346"/>
      <c r="AQ36" s="346"/>
      <c r="AR36" s="290"/>
      <c r="AS36" s="6"/>
      <c r="AT36" s="6"/>
      <c r="AU36" s="3"/>
      <c r="AV36" s="6"/>
      <c r="AW36" s="6"/>
      <c r="AX36" s="6"/>
      <c r="AY36" s="6"/>
      <c r="AZ36" s="6"/>
      <c r="BA36" s="6"/>
      <c r="BB36" s="6"/>
      <c r="BC36" s="6"/>
      <c r="BD36" s="431"/>
      <c r="BF36" s="282"/>
      <c r="BG36" s="7" t="s">
        <v>5</v>
      </c>
      <c r="BH36" s="7">
        <f>IFERROR((BI35-BH35)/$BG$9,0)</f>
        <v>0</v>
      </c>
      <c r="BI36" s="7">
        <f t="shared" ref="BI36:CF36" si="13">IFERROR((BJ35-BI35)/$BG$9,0)</f>
        <v>0</v>
      </c>
      <c r="BJ36" s="7">
        <f t="shared" si="13"/>
        <v>0</v>
      </c>
      <c r="BK36" s="7">
        <f t="shared" si="13"/>
        <v>0</v>
      </c>
      <c r="BL36" s="7">
        <f t="shared" si="13"/>
        <v>0</v>
      </c>
      <c r="BM36" s="7">
        <f t="shared" si="13"/>
        <v>0</v>
      </c>
      <c r="BN36" s="7">
        <f t="shared" si="13"/>
        <v>0</v>
      </c>
      <c r="BO36" s="7">
        <f t="shared" si="13"/>
        <v>0</v>
      </c>
      <c r="BP36" s="7">
        <f t="shared" si="13"/>
        <v>0</v>
      </c>
      <c r="BQ36" s="7">
        <f t="shared" si="13"/>
        <v>0</v>
      </c>
      <c r="BR36" s="7">
        <f t="shared" si="13"/>
        <v>0</v>
      </c>
      <c r="BS36" s="7">
        <f t="shared" si="13"/>
        <v>0</v>
      </c>
      <c r="BT36" s="7">
        <f t="shared" si="13"/>
        <v>0</v>
      </c>
      <c r="BU36" s="7">
        <f t="shared" si="13"/>
        <v>0</v>
      </c>
      <c r="BV36" s="7">
        <f t="shared" si="13"/>
        <v>0</v>
      </c>
      <c r="BW36" s="7">
        <f t="shared" si="13"/>
        <v>0</v>
      </c>
      <c r="BX36" s="7">
        <f t="shared" si="13"/>
        <v>0</v>
      </c>
      <c r="BY36" s="7">
        <f t="shared" si="13"/>
        <v>0</v>
      </c>
      <c r="BZ36" s="7">
        <f t="shared" si="13"/>
        <v>0</v>
      </c>
      <c r="CA36" s="7">
        <f t="shared" si="13"/>
        <v>0</v>
      </c>
      <c r="CB36" s="7">
        <f t="shared" si="13"/>
        <v>0</v>
      </c>
      <c r="CC36" s="7">
        <f t="shared" si="13"/>
        <v>0</v>
      </c>
      <c r="CD36" s="7">
        <f t="shared" si="13"/>
        <v>0</v>
      </c>
      <c r="CE36" s="7">
        <f t="shared" si="13"/>
        <v>0</v>
      </c>
      <c r="CF36" s="7">
        <f t="shared" si="13"/>
        <v>0</v>
      </c>
    </row>
    <row r="37" spans="1:85" ht="7.5" customHeight="1" thickBot="1">
      <c r="A37" s="412"/>
      <c r="B37" s="335"/>
      <c r="C37" s="335"/>
      <c r="D37" s="335"/>
      <c r="E37" s="335"/>
      <c r="F37" s="335"/>
      <c r="G37" s="335"/>
      <c r="H37" s="336"/>
      <c r="I37" s="316"/>
      <c r="J37" s="317"/>
      <c r="K37" s="345"/>
      <c r="L37" s="346"/>
      <c r="M37" s="347"/>
      <c r="N37" s="345"/>
      <c r="O37" s="346"/>
      <c r="P37" s="347"/>
      <c r="Q37" s="345"/>
      <c r="R37" s="346"/>
      <c r="S37" s="347"/>
      <c r="T37" s="345"/>
      <c r="U37" s="346"/>
      <c r="V37" s="347"/>
      <c r="W37" s="345"/>
      <c r="X37" s="346"/>
      <c r="Y37" s="347"/>
      <c r="Z37" s="345"/>
      <c r="AA37" s="346"/>
      <c r="AB37" s="347"/>
      <c r="AC37" s="345"/>
      <c r="AD37" s="346"/>
      <c r="AE37" s="347"/>
      <c r="AF37" s="345"/>
      <c r="AG37" s="346"/>
      <c r="AH37" s="347"/>
      <c r="AI37" s="345"/>
      <c r="AJ37" s="346"/>
      <c r="AK37" s="347"/>
      <c r="AL37" s="345"/>
      <c r="AM37" s="346"/>
      <c r="AN37" s="347"/>
      <c r="AO37" s="345"/>
      <c r="AP37" s="346"/>
      <c r="AQ37" s="346"/>
      <c r="AR37" s="290"/>
      <c r="AS37" s="6"/>
      <c r="AT37" s="6"/>
      <c r="AU37" s="3"/>
      <c r="AV37" s="6"/>
      <c r="AW37" s="6"/>
      <c r="AX37" s="6"/>
      <c r="AY37" s="6"/>
      <c r="AZ37" s="6"/>
      <c r="BA37" s="6"/>
      <c r="BB37" s="6"/>
      <c r="BC37" s="6"/>
      <c r="BD37" s="431"/>
      <c r="BF37" s="282"/>
      <c r="BG37" s="229" t="s">
        <v>146</v>
      </c>
      <c r="BH37" s="229">
        <f t="shared" ref="BH37:CF37" si="14">((BH36)^2)*$BG$9</f>
        <v>0</v>
      </c>
      <c r="BI37" s="229">
        <f t="shared" si="14"/>
        <v>0</v>
      </c>
      <c r="BJ37" s="229">
        <f t="shared" si="14"/>
        <v>0</v>
      </c>
      <c r="BK37" s="229">
        <f t="shared" si="14"/>
        <v>0</v>
      </c>
      <c r="BL37" s="229">
        <f t="shared" si="14"/>
        <v>0</v>
      </c>
      <c r="BM37" s="229">
        <f t="shared" si="14"/>
        <v>0</v>
      </c>
      <c r="BN37" s="229">
        <f t="shared" si="14"/>
        <v>0</v>
      </c>
      <c r="BO37" s="229">
        <f t="shared" si="14"/>
        <v>0</v>
      </c>
      <c r="BP37" s="229">
        <f t="shared" si="14"/>
        <v>0</v>
      </c>
      <c r="BQ37" s="229">
        <f t="shared" si="14"/>
        <v>0</v>
      </c>
      <c r="BR37" s="229">
        <f t="shared" si="14"/>
        <v>0</v>
      </c>
      <c r="BS37" s="229">
        <f t="shared" si="14"/>
        <v>0</v>
      </c>
      <c r="BT37" s="229">
        <f t="shared" si="14"/>
        <v>0</v>
      </c>
      <c r="BU37" s="229">
        <f t="shared" si="14"/>
        <v>0</v>
      </c>
      <c r="BV37" s="229">
        <f t="shared" si="14"/>
        <v>0</v>
      </c>
      <c r="BW37" s="229">
        <f t="shared" si="14"/>
        <v>0</v>
      </c>
      <c r="BX37" s="229">
        <f t="shared" si="14"/>
        <v>0</v>
      </c>
      <c r="BY37" s="229">
        <f t="shared" si="14"/>
        <v>0</v>
      </c>
      <c r="BZ37" s="229">
        <f t="shared" si="14"/>
        <v>0</v>
      </c>
      <c r="CA37" s="229">
        <f t="shared" si="14"/>
        <v>0</v>
      </c>
      <c r="CB37" s="229">
        <f t="shared" si="14"/>
        <v>0</v>
      </c>
      <c r="CC37" s="229">
        <f t="shared" si="14"/>
        <v>0</v>
      </c>
      <c r="CD37" s="229">
        <f t="shared" si="14"/>
        <v>0</v>
      </c>
      <c r="CE37" s="229">
        <f t="shared" si="14"/>
        <v>0</v>
      </c>
      <c r="CF37" s="229">
        <f t="shared" si="14"/>
        <v>0</v>
      </c>
    </row>
    <row r="38" spans="1:85" ht="7.5" customHeight="1">
      <c r="A38" s="412"/>
      <c r="B38" s="366" t="s">
        <v>139</v>
      </c>
      <c r="C38" s="367"/>
      <c r="D38" s="367"/>
      <c r="E38" s="325" t="s">
        <v>141</v>
      </c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7" t="s">
        <v>143</v>
      </c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 t="s">
        <v>142</v>
      </c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9" t="s">
        <v>144</v>
      </c>
      <c r="AN38" s="329"/>
      <c r="AO38" s="329"/>
      <c r="AP38" s="329"/>
      <c r="AQ38" s="330"/>
      <c r="AR38" s="290"/>
      <c r="AS38" s="6"/>
      <c r="AT38" s="6"/>
      <c r="AU38" s="3"/>
      <c r="AV38" s="6"/>
      <c r="AW38" s="6"/>
      <c r="AX38" s="6"/>
      <c r="AY38" s="6"/>
      <c r="AZ38" s="6"/>
      <c r="BA38" s="6"/>
      <c r="BB38" s="6"/>
      <c r="BC38" s="6"/>
      <c r="BD38" s="431"/>
      <c r="BF38" s="282"/>
      <c r="BG38" s="229" t="s">
        <v>98</v>
      </c>
      <c r="BH38" s="229">
        <f>CF28</f>
        <v>4.5146856088654208E-19</v>
      </c>
      <c r="BI38" s="229">
        <f t="shared" ref="BI38:CF38" si="15">(BI35*$BG$5)+BH38</f>
        <v>4.5146856088654208E-19</v>
      </c>
      <c r="BJ38" s="229">
        <f t="shared" si="15"/>
        <v>4.5146856088654208E-19</v>
      </c>
      <c r="BK38" s="229">
        <f t="shared" si="15"/>
        <v>4.5146856088654208E-19</v>
      </c>
      <c r="BL38" s="229">
        <f t="shared" si="15"/>
        <v>4.5146856088654208E-19</v>
      </c>
      <c r="BM38" s="229">
        <f t="shared" si="15"/>
        <v>4.5146856088654208E-19</v>
      </c>
      <c r="BN38" s="229">
        <f t="shared" si="15"/>
        <v>4.5146856088654208E-19</v>
      </c>
      <c r="BO38" s="229">
        <f t="shared" si="15"/>
        <v>4.5146856088654208E-19</v>
      </c>
      <c r="BP38" s="229">
        <f t="shared" si="15"/>
        <v>4.5146856088654208E-19</v>
      </c>
      <c r="BQ38" s="229">
        <f t="shared" si="15"/>
        <v>4.5146856088654208E-19</v>
      </c>
      <c r="BR38" s="229">
        <f t="shared" si="15"/>
        <v>4.5146856088654208E-19</v>
      </c>
      <c r="BS38" s="229">
        <f t="shared" si="15"/>
        <v>4.5146856088654208E-19</v>
      </c>
      <c r="BT38" s="229">
        <f t="shared" si="15"/>
        <v>4.5146856088654208E-19</v>
      </c>
      <c r="BU38" s="229">
        <f t="shared" si="15"/>
        <v>4.5146856088654208E-19</v>
      </c>
      <c r="BV38" s="229">
        <f t="shared" si="15"/>
        <v>4.5146856088654208E-19</v>
      </c>
      <c r="BW38" s="229">
        <f t="shared" si="15"/>
        <v>4.5146856088654208E-19</v>
      </c>
      <c r="BX38" s="229">
        <f t="shared" si="15"/>
        <v>4.5146856088654208E-19</v>
      </c>
      <c r="BY38" s="229">
        <f t="shared" si="15"/>
        <v>4.5146856088654208E-19</v>
      </c>
      <c r="BZ38" s="229">
        <f t="shared" si="15"/>
        <v>4.5146856088654208E-19</v>
      </c>
      <c r="CA38" s="229">
        <f t="shared" si="15"/>
        <v>4.5146856088654208E-19</v>
      </c>
      <c r="CB38" s="229">
        <f t="shared" si="15"/>
        <v>4.5146856088654208E-19</v>
      </c>
      <c r="CC38" s="229">
        <f t="shared" si="15"/>
        <v>4.5146856088654208E-19</v>
      </c>
      <c r="CD38" s="229">
        <f t="shared" si="15"/>
        <v>4.5146856088654208E-19</v>
      </c>
      <c r="CE38" s="229">
        <f t="shared" si="15"/>
        <v>4.5146856088654208E-19</v>
      </c>
      <c r="CF38" s="229">
        <f t="shared" si="15"/>
        <v>4.5146856088654208E-19</v>
      </c>
    </row>
    <row r="39" spans="1:85" ht="7.5" customHeight="1">
      <c r="A39" s="412"/>
      <c r="B39" s="368"/>
      <c r="C39" s="369"/>
      <c r="D39" s="369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31"/>
      <c r="AN39" s="331"/>
      <c r="AO39" s="331"/>
      <c r="AP39" s="331"/>
      <c r="AQ39" s="332"/>
      <c r="AR39" s="288">
        <v>3</v>
      </c>
      <c r="AS39" s="6"/>
      <c r="AT39" s="6"/>
      <c r="AU39" s="3"/>
      <c r="AV39" s="6"/>
      <c r="AW39" s="6"/>
      <c r="AX39" s="6"/>
      <c r="AY39" s="6"/>
      <c r="AZ39" s="6"/>
      <c r="BA39" s="6"/>
      <c r="BB39" s="6"/>
      <c r="BC39" s="6"/>
      <c r="BD39" s="431"/>
      <c r="BF39" s="282"/>
    </row>
    <row r="40" spans="1:85" ht="7.5" customHeight="1">
      <c r="A40" s="412"/>
      <c r="B40" s="362">
        <v>1</v>
      </c>
      <c r="C40" s="363"/>
      <c r="D40" s="363"/>
      <c r="E40" s="324" t="str">
        <f>IF(E27,IF(BH22&lt;1,ROUND((BH22*1000),1)&amp;" mm/s^2",ROUND(BH22,IF(BH22&gt;999,0,IF(BH22&gt;99,1,2)))&amp;" m/s^2"),"")</f>
        <v>426.7 m/s^2</v>
      </c>
      <c r="F40" s="324"/>
      <c r="G40" s="324"/>
      <c r="H40" s="324"/>
      <c r="I40" s="324"/>
      <c r="J40" s="324" t="str">
        <f>IF(E27,"for "&amp;ROUND(BK22,3)&amp;" sec","")</f>
        <v>for 0.008 sec</v>
      </c>
      <c r="K40" s="324"/>
      <c r="L40" s="324"/>
      <c r="M40" s="324"/>
      <c r="N40" s="324"/>
      <c r="O40" s="324"/>
      <c r="P40" s="324" t="str">
        <f>IF(E27,IFERROR(IF(BU21&lt;1,ROUND((BU21*1000),1)&amp;" mm/s",ROUND(BU21,2)&amp;" m/s"),"Need Time &amp; Distance"),"")</f>
        <v>1.6 m/s</v>
      </c>
      <c r="Q40" s="324"/>
      <c r="R40" s="324"/>
      <c r="S40" s="324"/>
      <c r="T40" s="324"/>
      <c r="U40" s="324"/>
      <c r="V40" s="324" t="str">
        <f>IF(E27,"for "&amp;ROUND(BL22,3)&amp;" sec","")</f>
        <v>for 0 sec</v>
      </c>
      <c r="W40" s="324"/>
      <c r="X40" s="324"/>
      <c r="Y40" s="324"/>
      <c r="Z40" s="324"/>
      <c r="AA40" s="324"/>
      <c r="AB40" s="324" t="str">
        <f>IF(E27,IF(BI22&lt;1,ROUND((BI22*1000),1)&amp;" mm/s^2",ROUND(BI22,IF(BI22&gt;999,0,IF(BI22&gt;99,1,2)))&amp;" m/s^2"),"")</f>
        <v>426.7 m/s^2</v>
      </c>
      <c r="AC40" s="324"/>
      <c r="AD40" s="324"/>
      <c r="AE40" s="324"/>
      <c r="AF40" s="324"/>
      <c r="AG40" s="324" t="str">
        <f>IF(E27,"for "&amp;ROUND(BM22,3)&amp;" sec","")</f>
        <v>for 0.008 sec</v>
      </c>
      <c r="AH40" s="324"/>
      <c r="AI40" s="324"/>
      <c r="AJ40" s="324"/>
      <c r="AK40" s="324"/>
      <c r="AL40" s="324"/>
      <c r="AM40" s="324" t="str">
        <f>IF(E27,IF(BJ22&lt;1,ROUND((BJ22*1000),1)&amp;" mm",ROUND(BJ22,2)&amp;" m"),"")</f>
        <v>12 mm</v>
      </c>
      <c r="AN40" s="324"/>
      <c r="AO40" s="324"/>
      <c r="AP40" s="324"/>
      <c r="AQ40" s="351"/>
      <c r="AR40" s="288"/>
      <c r="AS40" s="6"/>
      <c r="AT40" s="6"/>
      <c r="AU40" s="3"/>
      <c r="AV40" s="6"/>
      <c r="AW40" s="6"/>
      <c r="AX40" s="6"/>
      <c r="AY40" s="6"/>
      <c r="AZ40" s="6"/>
      <c r="BA40" s="6"/>
      <c r="BB40" s="6"/>
      <c r="BC40" s="6"/>
      <c r="BD40" s="431"/>
      <c r="BF40" s="282"/>
      <c r="BG40" s="249" t="s">
        <v>105</v>
      </c>
      <c r="BH40" s="249" t="s">
        <v>114</v>
      </c>
      <c r="BI40" s="249" t="s">
        <v>115</v>
      </c>
      <c r="BJ40" s="249" t="s">
        <v>106</v>
      </c>
      <c r="BK40" s="249" t="s">
        <v>107</v>
      </c>
      <c r="BL40" s="249" t="s">
        <v>108</v>
      </c>
      <c r="BM40" s="249" t="s">
        <v>109</v>
      </c>
      <c r="BN40" s="249" t="s">
        <v>104</v>
      </c>
      <c r="BO40" s="249" t="s">
        <v>110</v>
      </c>
      <c r="BP40" s="249" t="s">
        <v>111</v>
      </c>
      <c r="BQ40" s="249" t="s">
        <v>112</v>
      </c>
      <c r="BR40" s="249" t="s">
        <v>135</v>
      </c>
      <c r="BS40" s="247" t="s">
        <v>126</v>
      </c>
      <c r="BT40" s="247" t="s">
        <v>127</v>
      </c>
      <c r="BU40" s="247" t="s">
        <v>128</v>
      </c>
      <c r="BV40" s="247" t="s">
        <v>129</v>
      </c>
      <c r="BW40" s="247" t="s">
        <v>130</v>
      </c>
      <c r="BX40" s="247" t="s">
        <v>131</v>
      </c>
      <c r="BY40" s="247" t="s">
        <v>132</v>
      </c>
      <c r="BZ40" s="247" t="s">
        <v>133</v>
      </c>
      <c r="CA40" s="247"/>
      <c r="CB40" s="247" t="s">
        <v>134</v>
      </c>
      <c r="CC40" s="247"/>
    </row>
    <row r="41" spans="1:85" ht="7.5" customHeight="1">
      <c r="A41" s="412"/>
      <c r="B41" s="362"/>
      <c r="C41" s="363"/>
      <c r="D41" s="363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51"/>
      <c r="AR41" s="288"/>
      <c r="AS41" s="6"/>
      <c r="AT41" s="6"/>
      <c r="AU41" s="3"/>
      <c r="AV41" s="6"/>
      <c r="AW41" s="6"/>
      <c r="AX41" s="6"/>
      <c r="AY41" s="6"/>
      <c r="AZ41" s="6"/>
      <c r="BA41" s="6"/>
      <c r="BB41" s="6"/>
      <c r="BC41" s="6"/>
      <c r="BD41" s="431"/>
      <c r="BF41" s="282"/>
      <c r="BG41" s="247">
        <f>IF(ISBLANK(I33),0,I33)</f>
        <v>0</v>
      </c>
      <c r="BH41" s="247">
        <f>IF(ISBLANK(K33),0,K33)</f>
        <v>0</v>
      </c>
      <c r="BI41" s="247">
        <f>IF(ISBLANK(N33),0,N33)</f>
        <v>0</v>
      </c>
      <c r="BJ41" s="247">
        <f>IF(ISBLANK(Q33),0,Q33)/1000</f>
        <v>0</v>
      </c>
      <c r="BK41" s="8">
        <f>IF(ISBLANK(W33),0,W33)</f>
        <v>0</v>
      </c>
      <c r="BL41" s="8">
        <f>IF(ISBLANK(Z33),0,Z33)</f>
        <v>0</v>
      </c>
      <c r="BM41" s="8">
        <f>IF(ISBLANK(AC33),0,AC33)</f>
        <v>0</v>
      </c>
      <c r="BN41" s="8">
        <f>IF(ISBLANK(AF33),0,AF33)</f>
        <v>0</v>
      </c>
      <c r="BO41" s="247">
        <f>IF(ISBLANK(AI33),0,AI33)/1000</f>
        <v>0</v>
      </c>
      <c r="BP41" s="247">
        <f>IF(ISBLANK(AI33),0,AI33)/1000</f>
        <v>0</v>
      </c>
      <c r="BQ41" s="247">
        <f>IF(ISBLANK(AO33),0,AO33)/1000</f>
        <v>0</v>
      </c>
      <c r="BR41" s="247" t="str">
        <f>IF(ISBLANK(G33),0,G33)</f>
        <v>+</v>
      </c>
      <c r="BS41" s="247" t="e">
        <f>(BG42^2/BH42)</f>
        <v>#DIV/0!</v>
      </c>
      <c r="BT41" s="247">
        <f>BO42+((BJ42-(BO42+BQ42))/2)</f>
        <v>0</v>
      </c>
      <c r="BU41" s="247" t="e">
        <f>IF(BT41&gt;BS41,BG42,SQRT((BT41*BH42)/1))</f>
        <v>#DIV/0!</v>
      </c>
      <c r="BV41" s="247" t="e">
        <f>BU41/BH42</f>
        <v>#DIV/0!</v>
      </c>
      <c r="BW41" s="247">
        <f>BK42+(BL42/2)</f>
        <v>0</v>
      </c>
      <c r="BX41" s="8" t="e">
        <f>BU41/BI42</f>
        <v>#DIV/0!</v>
      </c>
      <c r="BY41" s="247" t="e">
        <f>((2*BJ42)/(BN41+SQRT(BN41^2-4*(2/BZ41)*BJ42)))</f>
        <v>#DIV/0!</v>
      </c>
      <c r="BZ41" s="8" t="e">
        <f>IF((4*(BJ42/BN42^2)*2)&gt;(BH42+BI42)/2,(4*(BJ42/BN42^2)*2),(BH42+BI42)/2)</f>
        <v>#DIV/0!</v>
      </c>
      <c r="CA41" s="247">
        <f>IFERROR(2*(BJ42/BN41),100)</f>
        <v>100</v>
      </c>
      <c r="CB41" s="247">
        <f t="shared" ref="CB41" si="16">(1/2)*2</f>
        <v>1</v>
      </c>
      <c r="CC41" s="9" t="e">
        <f>BL42/BN42</f>
        <v>#DIV/0!</v>
      </c>
    </row>
    <row r="42" spans="1:85" ht="7.5" customHeight="1">
      <c r="A42" s="412"/>
      <c r="B42" s="364">
        <v>2</v>
      </c>
      <c r="C42" s="365"/>
      <c r="D42" s="365"/>
      <c r="E42" s="318" t="str">
        <f>IF(E30,IF(BH32&lt;1,ROUND((BH32*1000),1)&amp;" mm/s^2",ROUND(BH32,IF(BH32&gt;999,0,IF(BH32&gt;99,1,2)))&amp;" m/s^2"),"")</f>
        <v>426.7 m/s^2</v>
      </c>
      <c r="F42" s="318"/>
      <c r="G42" s="318"/>
      <c r="H42" s="318"/>
      <c r="I42" s="318"/>
      <c r="J42" s="318" t="str">
        <f>IF(E30,"for "&amp;ROUND(BK32,3)&amp;" sec","")</f>
        <v>for 0.008 sec</v>
      </c>
      <c r="K42" s="318"/>
      <c r="L42" s="318"/>
      <c r="M42" s="318"/>
      <c r="N42" s="318"/>
      <c r="O42" s="318"/>
      <c r="P42" s="318" t="str">
        <f>IF(E30,IFERROR(IF(BU31&lt;1,ROUND((BU31*1000),1)&amp;" mm/s",ROUND(BU31,2)&amp;" m/s"),"Need Time &amp; Distance"),"")</f>
        <v>1.6 m/s</v>
      </c>
      <c r="Q42" s="318"/>
      <c r="R42" s="318"/>
      <c r="S42" s="318"/>
      <c r="T42" s="318"/>
      <c r="U42" s="318"/>
      <c r="V42" s="318" t="str">
        <f>IF(E30,"for "&amp;ROUND(BL32,3)&amp;" sec","")</f>
        <v>for 0 sec</v>
      </c>
      <c r="W42" s="318"/>
      <c r="X42" s="318"/>
      <c r="Y42" s="318"/>
      <c r="Z42" s="318"/>
      <c r="AA42" s="318"/>
      <c r="AB42" s="318" t="str">
        <f>IF(E30,IF(BI32&lt;1,ROUND((BI32*1000),1)&amp;" mm/s^2",ROUND(BI32,IF(BI32&gt;999,0,IF(BI32&gt;99,1,2)))&amp;" m/s^2"),"")</f>
        <v>426.7 m/s^2</v>
      </c>
      <c r="AC42" s="318"/>
      <c r="AD42" s="318"/>
      <c r="AE42" s="318"/>
      <c r="AF42" s="318"/>
      <c r="AG42" s="318" t="str">
        <f>IF(E30,"for "&amp;ROUND(BM32,3)&amp;" sec","")</f>
        <v>for 0.008 sec</v>
      </c>
      <c r="AH42" s="318"/>
      <c r="AI42" s="318"/>
      <c r="AJ42" s="318"/>
      <c r="AK42" s="318"/>
      <c r="AL42" s="318"/>
      <c r="AM42" s="318" t="str">
        <f>IF(E30,IF(BJ32&lt;1,ROUND((BJ32*1000),1)&amp;" mm",ROUND(BJ32,2)&amp;" m"),"")</f>
        <v>12 mm</v>
      </c>
      <c r="AN42" s="318"/>
      <c r="AO42" s="318"/>
      <c r="AP42" s="318"/>
      <c r="AQ42" s="319"/>
      <c r="AR42" s="288"/>
      <c r="AS42" s="6"/>
      <c r="AT42" s="6"/>
      <c r="AU42" s="3"/>
      <c r="AV42" s="6"/>
      <c r="AW42" s="6"/>
      <c r="AX42" s="6"/>
      <c r="AY42" s="6"/>
      <c r="AZ42" s="6"/>
      <c r="BA42" s="6"/>
      <c r="BB42" s="6"/>
      <c r="BC42" s="6"/>
      <c r="BD42" s="431"/>
      <c r="BF42" s="282"/>
      <c r="BG42" s="10">
        <f>IFERROR(IF(ISBLANK(I33),IF(ISBLANK(Q33),IF(ISBLANK(AI33),(BH41*BK41)/2,IF(ISBLANK(AL33),IF(ISBLANK(W33),SQRT(1*(BH41*BO41)),(2*BO41)/BK41),IF(ISBLANK(AL33),2*((BO41*2)/BN41),(BP41+(BO41*2)+(BQ41*2))/BN41))),IF(ISBLANK(AF33),IF(ISBLANK(W33),IF(ISBLANK(Z33),SQRT(BH41 *BJ41),(SQRT((BH41^2*BI41^2*BL41^2)+((2*BH41*BI41^2)+(2*BH41^2*BI41))*BJ41*2)-(BH41*BI41*BL41))/((BI41+BH41)*2)),IF(ISBLANK(Z33),2*(BJ41/(BK41*2)),BJ41/((BK41/2)+BL41+(BM41/2)))),IF(ISBLANK(Z33),IF(ISBLANK(K33),IF(ISBLANK(AL33),((4*(BJ41/BN41^2)*2)/2)*0.5*(BN41+SQRT(ROUND(BN41^2-4*(2/(4*(BJ41/BN41^2)*2))*BJ41,5))),(BJ41+(BJ41-BP41))/BN41),2*BJ41/(BN41+SQRT(BN41^2-(((2*BJ41)/(BI41/2))+((2*BJ41)/(BH41/2)))))),BJ41/(BL41+((BN41-BL41)*0.5))))),IF(ISBLANK(AF33),BG41,IF(BG41&gt;CA41,CA41,BG41))),100)</f>
        <v>0</v>
      </c>
      <c r="BH42" s="247">
        <f>IFERROR(IF(ISBLANK(K33),IF(ISBLANK(W33),IF(ISBLANK(AI33),IF(ISBLANK(AF33),IF(ISBLANK(Q33),IF(ISBLANK(AL33),(3*(BG42/(BL41*3)))*2,(BG42^2/(BP41))*2),IF(ISBLANK(AL33),(2*(BG42^2/BJ41))*2,(BG42^2/(BJ41-BP41))*2)),IF(ISBLANK(Q33),IF(ISBLANK(Z33),(3*(BG42/BN41))*2,(BG42/((BN41-BL41)/2))*2),(BG42^2/((BG42*BN41)-BJ41))*2)),(BG42^2/(2*BO41))*2),(BG42/BK41)*2),BH41),0)</f>
        <v>0</v>
      </c>
      <c r="BI42" s="247">
        <f>IFERROR(IF(ISBLANK(K33),IF(ISBLANK(W33),IF(ISBLANK(AI33),IF(ISBLANK(AF33),IF(ISBLANK(Q33),IF(ISBLANK(AL33),(3*(BG42/(BL41*3)))*2,(BG42^2/(BP41))*2),IF(ISBLANK(AL33),(2*(BG42^2/BJ41))*2,(BG42^2/(BJ41-BP41))*2)),IF(ISBLANK(Q33),IF(ISBLANK(Z33),(3*(BG42/BN41))*2,(BG42/((BN41-BL41)/2))*2),(BG42^2/((BG42*BN41)-BJ41))*2)),(BG42^2/(2*BQ41))*2),(BG42/BM41)*2),BI41),BH42)</f>
        <v>0</v>
      </c>
      <c r="BJ42" s="247">
        <f>IFERROR(ABS(IF(ISBLANK(Q33),IF(ISBLANK(AI33),IF(ISBLANK(W33),2*(BG42^2/(((BH42/2)+(BI42/2))/2)),(BG42*BL41)+((BK41*BG42)/2)+((BG42*BM41)/2)),BO41+BP41+BQ41),BJ41)),0)</f>
        <v>0</v>
      </c>
      <c r="BK42" s="247">
        <f>IFERROR(IF(ISBLANK(W33),BV41*2,BK41),0)</f>
        <v>0</v>
      </c>
      <c r="BL42" s="247">
        <f>IFERROR(IF(ISBLANK(Z33),(BT41-BO42)/BG42+(BJ42-BT41-BQ42)/BU41,BL41),0)</f>
        <v>0</v>
      </c>
      <c r="BM42" s="8">
        <f>IFERROR(IF(ISBLANK(AC33),BX41*2,BM41),0)</f>
        <v>0</v>
      </c>
      <c r="BN42" s="8">
        <f>IFERROR(IF(ISBLANK(AF33),BM42+BL42+BK42,BN41),0)</f>
        <v>0</v>
      </c>
      <c r="BO42" s="247">
        <f>IFERROR(IF(ISBLANK(AI33),IF((BJ42/(1+BI42^-1*BH42))&gt;BS41,BS41,(BJ42/(1+BI42^-1*BH42))),BO41),0)</f>
        <v>0</v>
      </c>
      <c r="BP42" s="247">
        <f>IFERROR(BL42*BU41,0)</f>
        <v>0</v>
      </c>
      <c r="BQ42" s="8">
        <f>IFERROR(IF(ISBLANK(AO33),IF((BJ42/(BI42*BH42^-1+1))&gt;(1*(BG42^2/BI42)),(1*(BG42^2/BI42)),(BJ42/(BI42*BH42^-1+1))),BQ41),0)</f>
        <v>0</v>
      </c>
      <c r="BR42" s="247"/>
      <c r="BS42" s="229"/>
    </row>
    <row r="43" spans="1:85" ht="7.5" customHeight="1">
      <c r="A43" s="412"/>
      <c r="B43" s="364"/>
      <c r="C43" s="365"/>
      <c r="D43" s="365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9"/>
      <c r="AR43" s="288"/>
      <c r="AS43" s="6"/>
      <c r="AT43" s="6"/>
      <c r="AU43" s="3"/>
      <c r="AV43" s="6"/>
      <c r="AW43" s="6"/>
      <c r="AX43" s="6"/>
      <c r="AY43" s="6"/>
      <c r="AZ43" s="6"/>
      <c r="BA43" s="6"/>
      <c r="BB43" s="6"/>
      <c r="BC43" s="6"/>
      <c r="BD43" s="431"/>
      <c r="BF43" s="282"/>
    </row>
    <row r="44" spans="1:85" ht="7.5" customHeight="1">
      <c r="A44" s="412"/>
      <c r="B44" s="358">
        <v>3</v>
      </c>
      <c r="C44" s="359"/>
      <c r="D44" s="359"/>
      <c r="E44" s="320" t="str">
        <f>IF(E33,IF(BH42&lt;1,ROUND((BH42*1000),1)&amp;" mm/s^2",ROUND(BH42,IF(BH42&gt;999,0,IF(BH42&gt;99,1,2)))&amp;" m/s^2"),"")</f>
        <v/>
      </c>
      <c r="F44" s="320"/>
      <c r="G44" s="320"/>
      <c r="H44" s="320"/>
      <c r="I44" s="320"/>
      <c r="J44" s="320" t="str">
        <f>IF(E33,"for "&amp;ROUND(BK42,3)&amp;" sec","")</f>
        <v/>
      </c>
      <c r="K44" s="320"/>
      <c r="L44" s="320"/>
      <c r="M44" s="320"/>
      <c r="N44" s="320"/>
      <c r="O44" s="320"/>
      <c r="P44" s="320" t="str">
        <f>IF(E33,IFERROR(IF(BU41&lt;1,ROUND((BU41*1000),1)&amp;" mm/s",ROUND(BU41,2)&amp;" m/s"),"Need Time &amp; Distance"),"")</f>
        <v/>
      </c>
      <c r="Q44" s="320"/>
      <c r="R44" s="320"/>
      <c r="S44" s="320"/>
      <c r="T44" s="320"/>
      <c r="U44" s="320"/>
      <c r="V44" s="320" t="str">
        <f>IF(E33,"for "&amp;ROUND(BL42,3)&amp;" sec","")</f>
        <v/>
      </c>
      <c r="W44" s="320"/>
      <c r="X44" s="320"/>
      <c r="Y44" s="320"/>
      <c r="Z44" s="320"/>
      <c r="AA44" s="320"/>
      <c r="AB44" s="320" t="str">
        <f>IF(E33,IF(BI42&lt;1,ROUND((BI42*1000),1)&amp;" mm/s^2",ROUND(BI42,IF(BI42&gt;999,0,IF(BI42&gt;99,1,2)))&amp;" m/s^2"),"")</f>
        <v/>
      </c>
      <c r="AC44" s="320"/>
      <c r="AD44" s="320"/>
      <c r="AE44" s="320"/>
      <c r="AF44" s="320"/>
      <c r="AG44" s="320" t="str">
        <f>IF(E33,"for "&amp;ROUND(BM42,3)&amp;" sec","")</f>
        <v/>
      </c>
      <c r="AH44" s="320"/>
      <c r="AI44" s="320"/>
      <c r="AJ44" s="320"/>
      <c r="AK44" s="320"/>
      <c r="AL44" s="320"/>
      <c r="AM44" s="320" t="str">
        <f>IF(E33,IF(BJ42&lt;1,ROUND((BJ42*1000),1)&amp;" mm",ROUND(BJ42,2)&amp;" m"),"")</f>
        <v/>
      </c>
      <c r="AN44" s="320"/>
      <c r="AO44" s="320"/>
      <c r="AP44" s="320"/>
      <c r="AQ44" s="321"/>
      <c r="AR44" s="288"/>
      <c r="AS44" s="6"/>
      <c r="AT44" s="6"/>
      <c r="AU44" s="3"/>
      <c r="AV44" s="6"/>
      <c r="AW44" s="6"/>
      <c r="AX44" s="6"/>
      <c r="AY44" s="6"/>
      <c r="AZ44" s="6"/>
      <c r="BA44" s="6"/>
      <c r="BB44" s="6"/>
      <c r="BC44" s="6"/>
      <c r="BD44" s="431"/>
      <c r="BF44" s="7"/>
      <c r="BG44" s="247"/>
      <c r="BH44" s="247"/>
      <c r="BI44" s="7"/>
      <c r="BJ44" s="7"/>
    </row>
    <row r="45" spans="1:85" ht="7.5" customHeight="1" thickBot="1">
      <c r="A45" s="412"/>
      <c r="B45" s="360"/>
      <c r="C45" s="361"/>
      <c r="D45" s="361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3"/>
      <c r="AR45" s="288"/>
      <c r="AS45" s="6"/>
      <c r="AT45" s="6"/>
      <c r="AU45" s="3"/>
      <c r="AV45" s="6"/>
      <c r="AW45" s="6"/>
      <c r="AX45" s="6"/>
      <c r="AY45" s="6"/>
      <c r="AZ45" s="6"/>
      <c r="BA45" s="6"/>
      <c r="BB45" s="6"/>
      <c r="BC45" s="6"/>
      <c r="BD45" s="431"/>
      <c r="BE45" s="253"/>
      <c r="BF45" s="7"/>
      <c r="BG45" s="247"/>
      <c r="BH45" s="247"/>
      <c r="BI45" s="7"/>
      <c r="BJ45" s="7"/>
    </row>
    <row r="46" spans="1:85" ht="6" customHeight="1">
      <c r="A46" s="412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431"/>
      <c r="BE46" s="251"/>
      <c r="BF46" s="7"/>
      <c r="BG46" s="247"/>
      <c r="BH46" s="247"/>
      <c r="BI46" s="7"/>
      <c r="BJ46" s="7"/>
    </row>
    <row r="47" spans="1:85" ht="7.5" customHeight="1">
      <c r="AY47" s="240"/>
      <c r="BF47" s="7"/>
      <c r="BG47" s="247"/>
      <c r="BH47" s="247"/>
      <c r="BI47" s="7"/>
      <c r="BJ47" s="7"/>
    </row>
    <row r="48" spans="1:85" ht="7.5" customHeight="1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Y48" s="240"/>
    </row>
    <row r="49" spans="1:83" ht="7.5" customHeight="1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</row>
    <row r="50" spans="1:83" ht="7.5" customHeight="1">
      <c r="A50" s="240"/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</row>
    <row r="51" spans="1:83" ht="7.5" customHeight="1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1"/>
      <c r="AS51" s="1"/>
      <c r="AT51" s="1"/>
      <c r="AU51" s="240"/>
      <c r="AV51" s="240"/>
      <c r="AW51" s="240"/>
      <c r="BS51" s="247"/>
    </row>
    <row r="52" spans="1:83" ht="7.5" customHeight="1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BE52" s="251"/>
      <c r="BF52" s="228"/>
      <c r="BS52" s="229"/>
      <c r="CE52" s="7"/>
    </row>
    <row r="53" spans="1:83" ht="7.5" customHeight="1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29"/>
      <c r="BE53" s="251"/>
      <c r="BS53" s="229"/>
      <c r="CE53" s="7"/>
    </row>
    <row r="54" spans="1:83" ht="7.5" customHeight="1">
      <c r="A54" s="240"/>
      <c r="B54" s="2"/>
      <c r="C54" s="2"/>
      <c r="D54" s="2"/>
      <c r="E54" s="2"/>
      <c r="F54" s="2"/>
      <c r="G54" s="242"/>
      <c r="H54" s="242"/>
      <c r="I54" s="242"/>
      <c r="J54" s="243"/>
      <c r="K54" s="243"/>
      <c r="L54" s="243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29"/>
      <c r="BE54" s="251"/>
      <c r="BS54" s="229"/>
      <c r="CE54" s="7"/>
    </row>
    <row r="55" spans="1:83" ht="7.5" customHeight="1">
      <c r="A55" s="240"/>
      <c r="B55" s="2"/>
      <c r="C55" s="2"/>
      <c r="D55" s="2"/>
      <c r="E55" s="2"/>
      <c r="F55" s="2"/>
      <c r="G55" s="242"/>
      <c r="H55" s="242"/>
      <c r="I55" s="242"/>
      <c r="J55" s="243"/>
      <c r="K55" s="243"/>
      <c r="L55" s="243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29"/>
      <c r="BE55" s="251"/>
      <c r="BS55" s="247"/>
      <c r="CE55" s="7"/>
    </row>
    <row r="56" spans="1:83" ht="7.5" customHeight="1">
      <c r="A56" s="240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29"/>
      <c r="BE56" s="251"/>
      <c r="BS56" s="229"/>
      <c r="CE56" s="7"/>
    </row>
    <row r="57" spans="1:83" ht="7.5" customHeight="1">
      <c r="A57" s="240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29"/>
      <c r="BE57" s="251"/>
      <c r="BS57" s="229"/>
      <c r="BV57" s="244"/>
      <c r="CE57" s="7"/>
    </row>
    <row r="58" spans="1:83" ht="7.5" customHeight="1">
      <c r="A58" s="240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  <c r="AT58" s="241"/>
      <c r="AU58" s="241"/>
      <c r="AV58" s="241"/>
      <c r="AW58" s="241"/>
      <c r="AX58" s="241"/>
      <c r="AY58" s="241"/>
      <c r="AZ58" s="241"/>
      <c r="BA58" s="241"/>
      <c r="BB58" s="241"/>
      <c r="BC58" s="241"/>
      <c r="BD58" s="229"/>
      <c r="BE58" s="251"/>
      <c r="BS58" s="247"/>
      <c r="BV58" s="229"/>
      <c r="CE58" s="7"/>
    </row>
    <row r="59" spans="1:83" ht="7.5" customHeight="1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29"/>
      <c r="BE59" s="251"/>
      <c r="BS59" s="229"/>
      <c r="BU59" s="229"/>
      <c r="BV59" s="229"/>
      <c r="CE59" s="7"/>
    </row>
    <row r="60" spans="1:83" ht="7.5" customHeight="1">
      <c r="A60" s="240"/>
      <c r="B60" s="2"/>
      <c r="C60" s="2"/>
      <c r="D60" s="2"/>
      <c r="E60" s="2"/>
      <c r="F60" s="2"/>
      <c r="G60" s="242"/>
      <c r="H60" s="242"/>
      <c r="I60" s="242"/>
      <c r="J60" s="243"/>
      <c r="K60" s="243"/>
      <c r="L60" s="243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  <c r="AT60" s="241"/>
      <c r="AU60" s="241"/>
      <c r="AV60" s="241"/>
      <c r="AW60" s="241"/>
      <c r="AX60" s="241"/>
      <c r="AY60" s="241"/>
      <c r="AZ60" s="241"/>
      <c r="BA60" s="241"/>
      <c r="BB60" s="241"/>
      <c r="BC60" s="241"/>
      <c r="BD60" s="229"/>
      <c r="BE60" s="251"/>
      <c r="BF60" s="7"/>
      <c r="BG60" s="7"/>
      <c r="BH60" s="7"/>
      <c r="BI60" s="7"/>
      <c r="BS60" s="229"/>
      <c r="CE60" s="7"/>
    </row>
    <row r="61" spans="1:83" ht="7.5" customHeight="1">
      <c r="A61" s="240"/>
      <c r="B61" s="2"/>
      <c r="C61" s="2"/>
      <c r="D61" s="2"/>
      <c r="E61" s="2"/>
      <c r="F61" s="2"/>
      <c r="G61" s="242"/>
      <c r="H61" s="242"/>
      <c r="I61" s="242"/>
      <c r="J61" s="243"/>
      <c r="K61" s="243"/>
      <c r="L61" s="243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  <c r="AT61" s="241"/>
      <c r="AU61" s="241"/>
      <c r="AV61" s="241"/>
      <c r="AW61" s="241"/>
      <c r="AX61" s="241"/>
      <c r="AY61" s="241"/>
      <c r="AZ61" s="241"/>
      <c r="BA61" s="241"/>
      <c r="BB61" s="241"/>
      <c r="BC61" s="241"/>
      <c r="BD61" s="229"/>
      <c r="BE61" s="251"/>
      <c r="BF61" s="7"/>
      <c r="BG61" s="7"/>
      <c r="BH61" s="7"/>
      <c r="BI61" s="7"/>
      <c r="BR61" s="229"/>
      <c r="CE61" s="7"/>
    </row>
    <row r="62" spans="1:83" ht="7.5" customHeight="1">
      <c r="A62" s="240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3"/>
      <c r="AC62" s="240"/>
      <c r="AD62" s="240"/>
      <c r="AE62" s="240"/>
      <c r="AF62" s="240"/>
      <c r="AG62" s="240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  <c r="AT62" s="241"/>
      <c r="AU62" s="241"/>
      <c r="AV62" s="241"/>
      <c r="AW62" s="241"/>
      <c r="AX62" s="241"/>
      <c r="AY62" s="241"/>
      <c r="AZ62" s="241"/>
      <c r="BA62" s="241"/>
      <c r="BB62" s="241"/>
      <c r="BC62" s="241"/>
      <c r="BD62" s="229"/>
      <c r="BE62" s="251"/>
      <c r="BR62" s="229"/>
      <c r="CE62" s="7"/>
    </row>
    <row r="63" spans="1:83" ht="7.5" customHeight="1">
      <c r="A63" s="240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3"/>
      <c r="AC63" s="240"/>
      <c r="AD63" s="240"/>
      <c r="AE63" s="240"/>
      <c r="AF63" s="240"/>
      <c r="AG63" s="240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229"/>
      <c r="BE63" s="251"/>
      <c r="BR63" s="229"/>
      <c r="CE63" s="7"/>
    </row>
    <row r="64" spans="1:83" ht="7.5" customHeight="1">
      <c r="A64" s="240"/>
      <c r="B64" s="2"/>
      <c r="C64" s="2"/>
      <c r="D64" s="2"/>
      <c r="E64" s="2"/>
      <c r="F64" s="2"/>
      <c r="G64" s="242"/>
      <c r="H64" s="242"/>
      <c r="I64" s="242"/>
      <c r="J64" s="243"/>
      <c r="K64" s="243"/>
      <c r="L64" s="243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241"/>
      <c r="BD64" s="229"/>
      <c r="BE64" s="251"/>
      <c r="BR64" s="229"/>
      <c r="CE64" s="7"/>
    </row>
    <row r="65" spans="1:83" ht="7.5" customHeight="1">
      <c r="A65" s="240"/>
      <c r="B65" s="2"/>
      <c r="C65" s="2"/>
      <c r="D65" s="2"/>
      <c r="E65" s="2"/>
      <c r="F65" s="2"/>
      <c r="G65" s="242"/>
      <c r="H65" s="242"/>
      <c r="I65" s="242"/>
      <c r="J65" s="243"/>
      <c r="K65" s="243"/>
      <c r="L65" s="243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241"/>
      <c r="BD65" s="229"/>
      <c r="BE65" s="251"/>
      <c r="BR65" s="229"/>
      <c r="CE65" s="7"/>
    </row>
    <row r="66" spans="1:83" ht="7.5" customHeight="1">
      <c r="A66" s="240"/>
      <c r="B66" s="2"/>
      <c r="C66" s="2"/>
      <c r="D66" s="2"/>
      <c r="E66" s="2"/>
      <c r="F66" s="2"/>
      <c r="G66" s="242"/>
      <c r="H66" s="242"/>
      <c r="I66" s="242"/>
      <c r="J66" s="243"/>
      <c r="K66" s="243"/>
      <c r="L66" s="243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241"/>
      <c r="AW66" s="241"/>
      <c r="AX66" s="241"/>
      <c r="AY66" s="241"/>
      <c r="AZ66" s="241"/>
      <c r="BA66" s="241"/>
      <c r="BB66" s="241"/>
      <c r="BC66" s="241"/>
      <c r="BD66" s="229"/>
      <c r="BE66" s="251"/>
      <c r="BR66" s="229"/>
      <c r="CE66" s="7"/>
    </row>
    <row r="67" spans="1:83" ht="7.5" customHeight="1">
      <c r="A67" s="240"/>
      <c r="B67" s="2"/>
      <c r="C67" s="2"/>
      <c r="D67" s="2"/>
      <c r="E67" s="2"/>
      <c r="F67" s="2"/>
      <c r="G67" s="242"/>
      <c r="H67" s="242"/>
      <c r="I67" s="242"/>
      <c r="J67" s="243"/>
      <c r="K67" s="243"/>
      <c r="L67" s="243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29"/>
      <c r="BE67" s="251"/>
      <c r="BR67" s="229"/>
      <c r="CE67" s="7"/>
    </row>
    <row r="68" spans="1:83" ht="7.5" customHeight="1">
      <c r="A68" s="240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  <c r="AT68" s="241"/>
      <c r="AU68" s="241"/>
      <c r="AV68" s="241"/>
      <c r="AW68" s="241"/>
      <c r="AX68" s="241"/>
      <c r="AY68" s="241"/>
      <c r="AZ68" s="241"/>
      <c r="BA68" s="241"/>
      <c r="BB68" s="241"/>
      <c r="BC68" s="241"/>
      <c r="BD68" s="229"/>
      <c r="BE68" s="251"/>
      <c r="BR68" s="229"/>
      <c r="CE68" s="7"/>
    </row>
    <row r="69" spans="1:83" ht="7.5" customHeight="1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  <c r="AT69" s="241"/>
      <c r="AU69" s="241"/>
      <c r="AV69" s="241"/>
      <c r="AW69" s="241"/>
      <c r="AX69" s="241"/>
      <c r="AY69" s="241"/>
      <c r="AZ69" s="241"/>
      <c r="BA69" s="241"/>
      <c r="BB69" s="241"/>
      <c r="BC69" s="241"/>
      <c r="BD69" s="229"/>
      <c r="BE69" s="251"/>
      <c r="BR69" s="229"/>
      <c r="CE69" s="7"/>
    </row>
    <row r="70" spans="1:83" ht="7.5" customHeight="1">
      <c r="A70" s="240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  <c r="AT70" s="241"/>
      <c r="AU70" s="241"/>
      <c r="AV70" s="241"/>
      <c r="AW70" s="241"/>
      <c r="AX70" s="241"/>
      <c r="AY70" s="241"/>
      <c r="AZ70" s="241"/>
      <c r="BA70" s="241"/>
      <c r="BB70" s="241"/>
      <c r="BC70" s="241"/>
      <c r="BD70" s="229"/>
      <c r="BE70" s="251"/>
      <c r="BR70" s="229"/>
      <c r="CE70" s="7"/>
    </row>
    <row r="71" spans="1:83" ht="7.5" customHeight="1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  <c r="AT71" s="241"/>
      <c r="AU71" s="241"/>
      <c r="AV71" s="241"/>
      <c r="AW71" s="241"/>
      <c r="AX71" s="241"/>
      <c r="AY71" s="241"/>
      <c r="AZ71" s="241"/>
      <c r="BA71" s="241"/>
      <c r="BB71" s="241"/>
      <c r="BC71" s="241"/>
      <c r="BD71" s="229"/>
      <c r="BE71" s="251"/>
      <c r="BN71" s="247"/>
      <c r="BO71" s="247"/>
      <c r="BP71" s="247"/>
      <c r="BQ71" s="247"/>
      <c r="BR71" s="10"/>
      <c r="BS71" s="10"/>
      <c r="BT71" s="247"/>
      <c r="BU71" s="247"/>
      <c r="BV71" s="247"/>
      <c r="BW71" s="247"/>
      <c r="BX71" s="247"/>
      <c r="CE71" s="7"/>
    </row>
    <row r="72" spans="1:83" ht="7.5" customHeight="1">
      <c r="A72" s="240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  <c r="AT72" s="241"/>
      <c r="AU72" s="241"/>
      <c r="AV72" s="241"/>
      <c r="AW72" s="241"/>
      <c r="AX72" s="241"/>
      <c r="AY72" s="241"/>
      <c r="AZ72" s="241"/>
      <c r="BA72" s="241"/>
      <c r="BB72" s="241"/>
      <c r="BC72" s="241"/>
      <c r="BD72" s="229"/>
      <c r="BE72" s="251"/>
      <c r="BN72" s="247"/>
      <c r="BO72" s="247"/>
      <c r="BP72" s="247"/>
      <c r="BQ72" s="247"/>
      <c r="BR72" s="247"/>
      <c r="BS72" s="8"/>
      <c r="BT72" s="247"/>
      <c r="BU72" s="8"/>
      <c r="BV72" s="247"/>
      <c r="BW72" s="247"/>
      <c r="BX72" s="9"/>
      <c r="CE72" s="7"/>
    </row>
    <row r="73" spans="1:83" ht="7.5" customHeight="1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1"/>
      <c r="AU73" s="241"/>
      <c r="AV73" s="241"/>
      <c r="AW73" s="241"/>
      <c r="AX73" s="241"/>
      <c r="AY73" s="241"/>
      <c r="AZ73" s="241"/>
      <c r="BA73" s="241"/>
      <c r="BB73" s="241"/>
      <c r="BC73" s="241"/>
      <c r="BD73" s="229"/>
      <c r="BE73" s="251"/>
      <c r="BR73" s="229"/>
      <c r="CE73" s="7"/>
    </row>
    <row r="74" spans="1:83" ht="7.5" customHeight="1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41"/>
      <c r="AW74" s="241"/>
      <c r="AX74" s="241"/>
      <c r="AY74" s="241"/>
      <c r="AZ74" s="241"/>
      <c r="BA74" s="241"/>
      <c r="BB74" s="241"/>
      <c r="BC74" s="241"/>
      <c r="BD74" s="229"/>
      <c r="BM74" s="247"/>
      <c r="BN74" s="247"/>
      <c r="BO74" s="247"/>
      <c r="BP74" s="247"/>
      <c r="BQ74" s="10"/>
      <c r="BR74" s="10"/>
      <c r="BS74" s="247"/>
      <c r="BT74" s="247"/>
      <c r="BU74" s="247"/>
      <c r="BV74" s="247"/>
      <c r="BW74" s="247"/>
    </row>
    <row r="75" spans="1:83" ht="7.5" customHeight="1">
      <c r="AH75" s="241"/>
      <c r="AI75" s="241"/>
      <c r="AJ75" s="240"/>
      <c r="AK75" s="240"/>
      <c r="AL75" s="240"/>
      <c r="AM75" s="240"/>
      <c r="AN75" s="240"/>
      <c r="AO75" s="240"/>
      <c r="BM75" s="247"/>
      <c r="BN75" s="247"/>
      <c r="BO75" s="247"/>
      <c r="BP75" s="247"/>
      <c r="BQ75" s="247"/>
      <c r="BR75" s="8"/>
      <c r="BS75" s="247"/>
      <c r="BT75" s="8"/>
      <c r="BU75" s="247"/>
      <c r="BV75" s="247"/>
      <c r="BW75" s="9"/>
    </row>
    <row r="76" spans="1:83" ht="7.5" customHeight="1">
      <c r="AH76" s="241"/>
      <c r="AI76" s="241"/>
      <c r="AJ76" s="240"/>
      <c r="AK76" s="240"/>
      <c r="AL76" s="240"/>
      <c r="AM76" s="240"/>
      <c r="AN76" s="240"/>
      <c r="AO76" s="240"/>
    </row>
    <row r="77" spans="1:83" ht="7.5" customHeight="1"/>
    <row r="78" spans="1:83" ht="7.5" customHeight="1"/>
    <row r="79" spans="1:83" ht="7.5" customHeight="1"/>
    <row r="80" spans="1:83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</sheetData>
  <sheetProtection selectLockedCells="1"/>
  <mergeCells count="208">
    <mergeCell ref="A1:A46"/>
    <mergeCell ref="B6:E8"/>
    <mergeCell ref="F6:G8"/>
    <mergeCell ref="H6:J8"/>
    <mergeCell ref="K6:M8"/>
    <mergeCell ref="B9:E11"/>
    <mergeCell ref="F9:G11"/>
    <mergeCell ref="H9:J11"/>
    <mergeCell ref="K9:M11"/>
    <mergeCell ref="B15:E17"/>
    <mergeCell ref="F15:G17"/>
    <mergeCell ref="H15:J17"/>
    <mergeCell ref="K15:M17"/>
    <mergeCell ref="B12:E14"/>
    <mergeCell ref="F12:G14"/>
    <mergeCell ref="H12:J14"/>
    <mergeCell ref="K12:M14"/>
    <mergeCell ref="B1:BD1"/>
    <mergeCell ref="K33:M35"/>
    <mergeCell ref="BD2:BD46"/>
    <mergeCell ref="AI33:AK35"/>
    <mergeCell ref="AL33:AN35"/>
    <mergeCell ref="AO33:AQ35"/>
    <mergeCell ref="AL30:AN32"/>
    <mergeCell ref="AI30:AK32"/>
    <mergeCell ref="U6:W7"/>
    <mergeCell ref="W30:Y32"/>
    <mergeCell ref="W36:Y37"/>
    <mergeCell ref="AC27:AE29"/>
    <mergeCell ref="AN16:AU17"/>
    <mergeCell ref="AF20:AM21"/>
    <mergeCell ref="AN20:AU21"/>
    <mergeCell ref="W24:Y26"/>
    <mergeCell ref="Z24:AB26"/>
    <mergeCell ref="X16:Y17"/>
    <mergeCell ref="X18:Y19"/>
    <mergeCell ref="X20:Y21"/>
    <mergeCell ref="U20:W21"/>
    <mergeCell ref="X14:Y15"/>
    <mergeCell ref="U12:W13"/>
    <mergeCell ref="Z12:AE13"/>
    <mergeCell ref="Z6:AE7"/>
    <mergeCell ref="V44:AA45"/>
    <mergeCell ref="AB44:AF45"/>
    <mergeCell ref="K27:M29"/>
    <mergeCell ref="N27:P29"/>
    <mergeCell ref="Q27:S29"/>
    <mergeCell ref="W27:Y29"/>
    <mergeCell ref="Z27:AB29"/>
    <mergeCell ref="AC36:AE37"/>
    <mergeCell ref="AF36:AH37"/>
    <mergeCell ref="Z36:AB37"/>
    <mergeCell ref="AB40:AF41"/>
    <mergeCell ref="AG40:AL41"/>
    <mergeCell ref="AG44:AL45"/>
    <mergeCell ref="N33:P35"/>
    <mergeCell ref="Q33:S35"/>
    <mergeCell ref="K30:M32"/>
    <mergeCell ref="N30:P32"/>
    <mergeCell ref="Q30:S32"/>
    <mergeCell ref="N36:P37"/>
    <mergeCell ref="Q36:S37"/>
    <mergeCell ref="V40:AA41"/>
    <mergeCell ref="W33:Y35"/>
    <mergeCell ref="Z33:AB35"/>
    <mergeCell ref="AC33:AE35"/>
    <mergeCell ref="U4:Y5"/>
    <mergeCell ref="U14:W15"/>
    <mergeCell ref="U8:W9"/>
    <mergeCell ref="U18:W19"/>
    <mergeCell ref="U16:W17"/>
    <mergeCell ref="P10:T11"/>
    <mergeCell ref="E30:F32"/>
    <mergeCell ref="E33:F35"/>
    <mergeCell ref="P16:T17"/>
    <mergeCell ref="P18:T19"/>
    <mergeCell ref="B18:G20"/>
    <mergeCell ref="P14:T15"/>
    <mergeCell ref="P20:T21"/>
    <mergeCell ref="E24:F26"/>
    <mergeCell ref="E27:F29"/>
    <mergeCell ref="P4:T5"/>
    <mergeCell ref="P6:T7"/>
    <mergeCell ref="P8:T9"/>
    <mergeCell ref="B21:G23"/>
    <mergeCell ref="H21:J23"/>
    <mergeCell ref="K21:M23"/>
    <mergeCell ref="H18:J20"/>
    <mergeCell ref="K18:M20"/>
    <mergeCell ref="K24:M26"/>
    <mergeCell ref="B44:D45"/>
    <mergeCell ref="E44:I45"/>
    <mergeCell ref="J44:O45"/>
    <mergeCell ref="P44:U45"/>
    <mergeCell ref="B40:D41"/>
    <mergeCell ref="B42:D43"/>
    <mergeCell ref="B27:D29"/>
    <mergeCell ref="B30:D32"/>
    <mergeCell ref="B33:D35"/>
    <mergeCell ref="B38:D39"/>
    <mergeCell ref="E40:I41"/>
    <mergeCell ref="J40:O41"/>
    <mergeCell ref="K36:M37"/>
    <mergeCell ref="J42:O43"/>
    <mergeCell ref="P42:U43"/>
    <mergeCell ref="AM40:AQ41"/>
    <mergeCell ref="Z14:AE15"/>
    <mergeCell ref="Z10:AE11"/>
    <mergeCell ref="Z16:AE17"/>
    <mergeCell ref="AF14:AM15"/>
    <mergeCell ref="AN14:AU15"/>
    <mergeCell ref="AF27:AH29"/>
    <mergeCell ref="AF30:AH32"/>
    <mergeCell ref="AI27:AK29"/>
    <mergeCell ref="AL27:AN29"/>
    <mergeCell ref="AO27:AQ29"/>
    <mergeCell ref="AC24:AE26"/>
    <mergeCell ref="AF24:AH26"/>
    <mergeCell ref="Z30:AB32"/>
    <mergeCell ref="AC30:AE32"/>
    <mergeCell ref="AI36:AK37"/>
    <mergeCell ref="AL36:AN37"/>
    <mergeCell ref="AO36:AQ37"/>
    <mergeCell ref="AI24:AK26"/>
    <mergeCell ref="AL24:AN26"/>
    <mergeCell ref="AO24:AQ26"/>
    <mergeCell ref="AF16:AM17"/>
    <mergeCell ref="AO30:AQ32"/>
    <mergeCell ref="AF33:AH35"/>
    <mergeCell ref="V42:AA43"/>
    <mergeCell ref="B36:H37"/>
    <mergeCell ref="T24:V26"/>
    <mergeCell ref="T27:V29"/>
    <mergeCell ref="T30:V32"/>
    <mergeCell ref="T33:V35"/>
    <mergeCell ref="T36:V37"/>
    <mergeCell ref="B24:D26"/>
    <mergeCell ref="N24:P26"/>
    <mergeCell ref="Q24:S26"/>
    <mergeCell ref="BF24:BF33"/>
    <mergeCell ref="BF34:BF43"/>
    <mergeCell ref="AR24:AR30"/>
    <mergeCell ref="AR39:AR45"/>
    <mergeCell ref="AR31:AR38"/>
    <mergeCell ref="G24:H26"/>
    <mergeCell ref="G27:H29"/>
    <mergeCell ref="G30:H32"/>
    <mergeCell ref="G33:H35"/>
    <mergeCell ref="I24:J26"/>
    <mergeCell ref="I27:J29"/>
    <mergeCell ref="I30:J32"/>
    <mergeCell ref="I33:J35"/>
    <mergeCell ref="I36:J37"/>
    <mergeCell ref="AB42:AF43"/>
    <mergeCell ref="AG42:AL43"/>
    <mergeCell ref="AM42:AQ43"/>
    <mergeCell ref="AM44:AQ45"/>
    <mergeCell ref="P40:U41"/>
    <mergeCell ref="E38:O39"/>
    <mergeCell ref="P38:AA39"/>
    <mergeCell ref="AB38:AL39"/>
    <mergeCell ref="AM38:AQ39"/>
    <mergeCell ref="E42:I43"/>
    <mergeCell ref="Z4:AE5"/>
    <mergeCell ref="AF2:AM3"/>
    <mergeCell ref="AN2:AU3"/>
    <mergeCell ref="AV14:BC15"/>
    <mergeCell ref="BK3:BL3"/>
    <mergeCell ref="BF14:BF23"/>
    <mergeCell ref="AV6:BC7"/>
    <mergeCell ref="AV8:BC9"/>
    <mergeCell ref="Z8:AE9"/>
    <mergeCell ref="Z18:AE19"/>
    <mergeCell ref="AV10:BC11"/>
    <mergeCell ref="Z2:AE3"/>
    <mergeCell ref="AF8:AM9"/>
    <mergeCell ref="AN8:AU9"/>
    <mergeCell ref="AF10:AM11"/>
    <mergeCell ref="AN10:AU11"/>
    <mergeCell ref="AV16:BC17"/>
    <mergeCell ref="AF18:AM19"/>
    <mergeCell ref="AN18:AU19"/>
    <mergeCell ref="AV18:BC19"/>
    <mergeCell ref="AV20:BC21"/>
    <mergeCell ref="B2:M3"/>
    <mergeCell ref="B4:M5"/>
    <mergeCell ref="P22:S23"/>
    <mergeCell ref="U22:X23"/>
    <mergeCell ref="Y22:Z23"/>
    <mergeCell ref="AB22:AD23"/>
    <mergeCell ref="AF22:AG23"/>
    <mergeCell ref="AV2:BC3"/>
    <mergeCell ref="X6:Y7"/>
    <mergeCell ref="X8:Y9"/>
    <mergeCell ref="X10:Y11"/>
    <mergeCell ref="X12:Y13"/>
    <mergeCell ref="AV4:BC5"/>
    <mergeCell ref="AV12:BC13"/>
    <mergeCell ref="P2:Y3"/>
    <mergeCell ref="Z20:AE21"/>
    <mergeCell ref="AF4:AM5"/>
    <mergeCell ref="AN4:AU5"/>
    <mergeCell ref="AF6:AM7"/>
    <mergeCell ref="AN6:AU7"/>
    <mergeCell ref="AF12:AM13"/>
    <mergeCell ref="AN12:AU13"/>
    <mergeCell ref="U10:W11"/>
    <mergeCell ref="P12:T13"/>
  </mergeCells>
  <conditionalFormatting sqref="E38 AB38 P38 E40">
    <cfRule type="expression" dxfId="11" priority="28">
      <formula>NOT(Segment2)</formula>
    </cfRule>
  </conditionalFormatting>
  <conditionalFormatting sqref="P40 AB40 AM40">
    <cfRule type="expression" dxfId="10" priority="10">
      <formula>NOT(Segment2)</formula>
    </cfRule>
  </conditionalFormatting>
  <conditionalFormatting sqref="J40">
    <cfRule type="expression" dxfId="9" priority="13">
      <formula>NOT(Segment2)</formula>
    </cfRule>
  </conditionalFormatting>
  <conditionalFormatting sqref="V40 AG40">
    <cfRule type="expression" dxfId="8" priority="9">
      <formula>NOT(Segment2)</formula>
    </cfRule>
  </conditionalFormatting>
  <conditionalFormatting sqref="E42">
    <cfRule type="expression" dxfId="7" priority="8">
      <formula>NOT(Segment2)</formula>
    </cfRule>
  </conditionalFormatting>
  <conditionalFormatting sqref="J42">
    <cfRule type="expression" dxfId="6" priority="7">
      <formula>NOT(Segment2)</formula>
    </cfRule>
  </conditionalFormatting>
  <conditionalFormatting sqref="P42 AB42 AM42">
    <cfRule type="expression" dxfId="5" priority="6">
      <formula>NOT(Segment2)</formula>
    </cfRule>
  </conditionalFormatting>
  <conditionalFormatting sqref="V42 AG42">
    <cfRule type="expression" dxfId="4" priority="5">
      <formula>NOT(Segment2)</formula>
    </cfRule>
  </conditionalFormatting>
  <conditionalFormatting sqref="E44">
    <cfRule type="expression" dxfId="3" priority="4">
      <formula>NOT(Segment2)</formula>
    </cfRule>
  </conditionalFormatting>
  <conditionalFormatting sqref="J44">
    <cfRule type="expression" dxfId="2" priority="3">
      <formula>NOT(Segment2)</formula>
    </cfRule>
  </conditionalFormatting>
  <conditionalFormatting sqref="P44 AB44 AM44">
    <cfRule type="expression" dxfId="1" priority="2">
      <formula>NOT(Segment2)</formula>
    </cfRule>
  </conditionalFormatting>
  <conditionalFormatting sqref="V44 AG44">
    <cfRule type="expression" dxfId="0" priority="1">
      <formula>NOT(Segment2)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R73"/>
  <sheetViews>
    <sheetView showGridLines="0" showRowColHeader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26" sqref="L26"/>
    </sheetView>
  </sheetViews>
  <sheetFormatPr defaultRowHeight="12"/>
  <cols>
    <col min="1" max="1" width="21" style="11" customWidth="1"/>
    <col min="2" max="2" width="6.7109375" style="11" customWidth="1"/>
    <col min="3" max="6" width="9.85546875" style="11" customWidth="1"/>
    <col min="7" max="9" width="9.85546875" style="12" customWidth="1"/>
    <col min="10" max="12" width="9.85546875" style="11" customWidth="1"/>
    <col min="13" max="14" width="9.85546875" style="12" customWidth="1"/>
    <col min="15" max="15" width="12.42578125" style="11" bestFit="1" customWidth="1"/>
    <col min="16" max="18" width="9.85546875" style="11" customWidth="1"/>
    <col min="19" max="24" width="9.85546875" style="12" customWidth="1"/>
    <col min="25" max="25" width="10.5703125" style="12" bestFit="1" customWidth="1"/>
    <col min="26" max="29" width="9.85546875" style="12" customWidth="1"/>
    <col min="30" max="31" width="9.85546875" style="11" customWidth="1"/>
    <col min="32" max="32" width="9.28515625" style="11" bestFit="1" customWidth="1"/>
    <col min="33" max="33" width="11" style="11" customWidth="1"/>
    <col min="34" max="34" width="13.28515625" style="11" customWidth="1"/>
    <col min="35" max="57" width="9.28515625" style="11" bestFit="1" customWidth="1"/>
    <col min="58" max="256" width="9.140625" style="14"/>
    <col min="257" max="270" width="9.140625" style="14" customWidth="1"/>
    <col min="271" max="271" width="9.140625" style="14"/>
    <col min="272" max="287" width="9.140625" style="14" customWidth="1"/>
    <col min="288" max="288" width="9.140625" style="14"/>
    <col min="289" max="290" width="9.140625" style="14" customWidth="1"/>
    <col min="291" max="512" width="9.140625" style="14"/>
    <col min="513" max="526" width="9.140625" style="14" customWidth="1"/>
    <col min="527" max="527" width="9.140625" style="14"/>
    <col min="528" max="543" width="9.140625" style="14" customWidth="1"/>
    <col min="544" max="544" width="9.140625" style="14"/>
    <col min="545" max="546" width="9.140625" style="14" customWidth="1"/>
    <col min="547" max="768" width="9.140625" style="14"/>
    <col min="769" max="782" width="9.140625" style="14" customWidth="1"/>
    <col min="783" max="783" width="9.140625" style="14"/>
    <col min="784" max="799" width="9.140625" style="14" customWidth="1"/>
    <col min="800" max="800" width="9.140625" style="14"/>
    <col min="801" max="802" width="9.140625" style="14" customWidth="1"/>
    <col min="803" max="1024" width="9.140625" style="14"/>
    <col min="1025" max="1038" width="9.140625" style="14" customWidth="1"/>
    <col min="1039" max="1039" width="9.140625" style="14"/>
    <col min="1040" max="1055" width="9.140625" style="14" customWidth="1"/>
    <col min="1056" max="1056" width="9.140625" style="14"/>
    <col min="1057" max="1058" width="9.140625" style="14" customWidth="1"/>
    <col min="1059" max="1280" width="9.140625" style="14"/>
    <col min="1281" max="1294" width="9.140625" style="14" customWidth="1"/>
    <col min="1295" max="1295" width="9.140625" style="14"/>
    <col min="1296" max="1311" width="9.140625" style="14" customWidth="1"/>
    <col min="1312" max="1312" width="9.140625" style="14"/>
    <col min="1313" max="1314" width="9.140625" style="14" customWidth="1"/>
    <col min="1315" max="1536" width="9.140625" style="14"/>
    <col min="1537" max="1550" width="9.140625" style="14" customWidth="1"/>
    <col min="1551" max="1551" width="9.140625" style="14"/>
    <col min="1552" max="1567" width="9.140625" style="14" customWidth="1"/>
    <col min="1568" max="1568" width="9.140625" style="14"/>
    <col min="1569" max="1570" width="9.140625" style="14" customWidth="1"/>
    <col min="1571" max="1792" width="9.140625" style="14"/>
    <col min="1793" max="1806" width="9.140625" style="14" customWidth="1"/>
    <col min="1807" max="1807" width="9.140625" style="14"/>
    <col min="1808" max="1823" width="9.140625" style="14" customWidth="1"/>
    <col min="1824" max="1824" width="9.140625" style="14"/>
    <col min="1825" max="1826" width="9.140625" style="14" customWidth="1"/>
    <col min="1827" max="2048" width="9.140625" style="14"/>
    <col min="2049" max="2062" width="9.140625" style="14" customWidth="1"/>
    <col min="2063" max="2063" width="9.140625" style="14"/>
    <col min="2064" max="2079" width="9.140625" style="14" customWidth="1"/>
    <col min="2080" max="2080" width="9.140625" style="14"/>
    <col min="2081" max="2082" width="9.140625" style="14" customWidth="1"/>
    <col min="2083" max="2304" width="9.140625" style="14"/>
    <col min="2305" max="2318" width="9.140625" style="14" customWidth="1"/>
    <col min="2319" max="2319" width="9.140625" style="14"/>
    <col min="2320" max="2335" width="9.140625" style="14" customWidth="1"/>
    <col min="2336" max="2336" width="9.140625" style="14"/>
    <col min="2337" max="2338" width="9.140625" style="14" customWidth="1"/>
    <col min="2339" max="2560" width="9.140625" style="14"/>
    <col min="2561" max="2574" width="9.140625" style="14" customWidth="1"/>
    <col min="2575" max="2575" width="9.140625" style="14"/>
    <col min="2576" max="2591" width="9.140625" style="14" customWidth="1"/>
    <col min="2592" max="2592" width="9.140625" style="14"/>
    <col min="2593" max="2594" width="9.140625" style="14" customWidth="1"/>
    <col min="2595" max="2816" width="9.140625" style="14"/>
    <col min="2817" max="2830" width="9.140625" style="14" customWidth="1"/>
    <col min="2831" max="2831" width="9.140625" style="14"/>
    <col min="2832" max="2847" width="9.140625" style="14" customWidth="1"/>
    <col min="2848" max="2848" width="9.140625" style="14"/>
    <col min="2849" max="2850" width="9.140625" style="14" customWidth="1"/>
    <col min="2851" max="3072" width="9.140625" style="14"/>
    <col min="3073" max="3086" width="9.140625" style="14" customWidth="1"/>
    <col min="3087" max="3087" width="9.140625" style="14"/>
    <col min="3088" max="3103" width="9.140625" style="14" customWidth="1"/>
    <col min="3104" max="3104" width="9.140625" style="14"/>
    <col min="3105" max="3106" width="9.140625" style="14" customWidth="1"/>
    <col min="3107" max="3328" width="9.140625" style="14"/>
    <col min="3329" max="3342" width="9.140625" style="14" customWidth="1"/>
    <col min="3343" max="3343" width="9.140625" style="14"/>
    <col min="3344" max="3359" width="9.140625" style="14" customWidth="1"/>
    <col min="3360" max="3360" width="9.140625" style="14"/>
    <col min="3361" max="3362" width="9.140625" style="14" customWidth="1"/>
    <col min="3363" max="3584" width="9.140625" style="14"/>
    <col min="3585" max="3598" width="9.140625" style="14" customWidth="1"/>
    <col min="3599" max="3599" width="9.140625" style="14"/>
    <col min="3600" max="3615" width="9.140625" style="14" customWidth="1"/>
    <col min="3616" max="3616" width="9.140625" style="14"/>
    <col min="3617" max="3618" width="9.140625" style="14" customWidth="1"/>
    <col min="3619" max="3840" width="9.140625" style="14"/>
    <col min="3841" max="3854" width="9.140625" style="14" customWidth="1"/>
    <col min="3855" max="3855" width="9.140625" style="14"/>
    <col min="3856" max="3871" width="9.140625" style="14" customWidth="1"/>
    <col min="3872" max="3872" width="9.140625" style="14"/>
    <col min="3873" max="3874" width="9.140625" style="14" customWidth="1"/>
    <col min="3875" max="4096" width="9.140625" style="14"/>
    <col min="4097" max="4110" width="9.140625" style="14" customWidth="1"/>
    <col min="4111" max="4111" width="9.140625" style="14"/>
    <col min="4112" max="4127" width="9.140625" style="14" customWidth="1"/>
    <col min="4128" max="4128" width="9.140625" style="14"/>
    <col min="4129" max="4130" width="9.140625" style="14" customWidth="1"/>
    <col min="4131" max="4352" width="9.140625" style="14"/>
    <col min="4353" max="4366" width="9.140625" style="14" customWidth="1"/>
    <col min="4367" max="4367" width="9.140625" style="14"/>
    <col min="4368" max="4383" width="9.140625" style="14" customWidth="1"/>
    <col min="4384" max="4384" width="9.140625" style="14"/>
    <col min="4385" max="4386" width="9.140625" style="14" customWidth="1"/>
    <col min="4387" max="4608" width="9.140625" style="14"/>
    <col min="4609" max="4622" width="9.140625" style="14" customWidth="1"/>
    <col min="4623" max="4623" width="9.140625" style="14"/>
    <col min="4624" max="4639" width="9.140625" style="14" customWidth="1"/>
    <col min="4640" max="4640" width="9.140625" style="14"/>
    <col min="4641" max="4642" width="9.140625" style="14" customWidth="1"/>
    <col min="4643" max="4864" width="9.140625" style="14"/>
    <col min="4865" max="4878" width="9.140625" style="14" customWidth="1"/>
    <col min="4879" max="4879" width="9.140625" style="14"/>
    <col min="4880" max="4895" width="9.140625" style="14" customWidth="1"/>
    <col min="4896" max="4896" width="9.140625" style="14"/>
    <col min="4897" max="4898" width="9.140625" style="14" customWidth="1"/>
    <col min="4899" max="5120" width="9.140625" style="14"/>
    <col min="5121" max="5134" width="9.140625" style="14" customWidth="1"/>
    <col min="5135" max="5135" width="9.140625" style="14"/>
    <col min="5136" max="5151" width="9.140625" style="14" customWidth="1"/>
    <col min="5152" max="5152" width="9.140625" style="14"/>
    <col min="5153" max="5154" width="9.140625" style="14" customWidth="1"/>
    <col min="5155" max="5376" width="9.140625" style="14"/>
    <col min="5377" max="5390" width="9.140625" style="14" customWidth="1"/>
    <col min="5391" max="5391" width="9.140625" style="14"/>
    <col min="5392" max="5407" width="9.140625" style="14" customWidth="1"/>
    <col min="5408" max="5408" width="9.140625" style="14"/>
    <col min="5409" max="5410" width="9.140625" style="14" customWidth="1"/>
    <col min="5411" max="5632" width="9.140625" style="14"/>
    <col min="5633" max="5646" width="9.140625" style="14" customWidth="1"/>
    <col min="5647" max="5647" width="9.140625" style="14"/>
    <col min="5648" max="5663" width="9.140625" style="14" customWidth="1"/>
    <col min="5664" max="5664" width="9.140625" style="14"/>
    <col min="5665" max="5666" width="9.140625" style="14" customWidth="1"/>
    <col min="5667" max="5888" width="9.140625" style="14"/>
    <col min="5889" max="5902" width="9.140625" style="14" customWidth="1"/>
    <col min="5903" max="5903" width="9.140625" style="14"/>
    <col min="5904" max="5919" width="9.140625" style="14" customWidth="1"/>
    <col min="5920" max="5920" width="9.140625" style="14"/>
    <col min="5921" max="5922" width="9.140625" style="14" customWidth="1"/>
    <col min="5923" max="6144" width="9.140625" style="14"/>
    <col min="6145" max="6158" width="9.140625" style="14" customWidth="1"/>
    <col min="6159" max="6159" width="9.140625" style="14"/>
    <col min="6160" max="6175" width="9.140625" style="14" customWidth="1"/>
    <col min="6176" max="6176" width="9.140625" style="14"/>
    <col min="6177" max="6178" width="9.140625" style="14" customWidth="1"/>
    <col min="6179" max="6400" width="9.140625" style="14"/>
    <col min="6401" max="6414" width="9.140625" style="14" customWidth="1"/>
    <col min="6415" max="6415" width="9.140625" style="14"/>
    <col min="6416" max="6431" width="9.140625" style="14" customWidth="1"/>
    <col min="6432" max="6432" width="9.140625" style="14"/>
    <col min="6433" max="6434" width="9.140625" style="14" customWidth="1"/>
    <col min="6435" max="6656" width="9.140625" style="14"/>
    <col min="6657" max="6670" width="9.140625" style="14" customWidth="1"/>
    <col min="6671" max="6671" width="9.140625" style="14"/>
    <col min="6672" max="6687" width="9.140625" style="14" customWidth="1"/>
    <col min="6688" max="6688" width="9.140625" style="14"/>
    <col min="6689" max="6690" width="9.140625" style="14" customWidth="1"/>
    <col min="6691" max="6912" width="9.140625" style="14"/>
    <col min="6913" max="6926" width="9.140625" style="14" customWidth="1"/>
    <col min="6927" max="6927" width="9.140625" style="14"/>
    <col min="6928" max="6943" width="9.140625" style="14" customWidth="1"/>
    <col min="6944" max="6944" width="9.140625" style="14"/>
    <col min="6945" max="6946" width="9.140625" style="14" customWidth="1"/>
    <col min="6947" max="7168" width="9.140625" style="14"/>
    <col min="7169" max="7182" width="9.140625" style="14" customWidth="1"/>
    <col min="7183" max="7183" width="9.140625" style="14"/>
    <col min="7184" max="7199" width="9.140625" style="14" customWidth="1"/>
    <col min="7200" max="7200" width="9.140625" style="14"/>
    <col min="7201" max="7202" width="9.140625" style="14" customWidth="1"/>
    <col min="7203" max="7424" width="9.140625" style="14"/>
    <col min="7425" max="7438" width="9.140625" style="14" customWidth="1"/>
    <col min="7439" max="7439" width="9.140625" style="14"/>
    <col min="7440" max="7455" width="9.140625" style="14" customWidth="1"/>
    <col min="7456" max="7456" width="9.140625" style="14"/>
    <col min="7457" max="7458" width="9.140625" style="14" customWidth="1"/>
    <col min="7459" max="7680" width="9.140625" style="14"/>
    <col min="7681" max="7694" width="9.140625" style="14" customWidth="1"/>
    <col min="7695" max="7695" width="9.140625" style="14"/>
    <col min="7696" max="7711" width="9.140625" style="14" customWidth="1"/>
    <col min="7712" max="7712" width="9.140625" style="14"/>
    <col min="7713" max="7714" width="9.140625" style="14" customWidth="1"/>
    <col min="7715" max="7936" width="9.140625" style="14"/>
    <col min="7937" max="7950" width="9.140625" style="14" customWidth="1"/>
    <col min="7951" max="7951" width="9.140625" style="14"/>
    <col min="7952" max="7967" width="9.140625" style="14" customWidth="1"/>
    <col min="7968" max="7968" width="9.140625" style="14"/>
    <col min="7969" max="7970" width="9.140625" style="14" customWidth="1"/>
    <col min="7971" max="8192" width="9.140625" style="14"/>
    <col min="8193" max="8206" width="9.140625" style="14" customWidth="1"/>
    <col min="8207" max="8207" width="9.140625" style="14"/>
    <col min="8208" max="8223" width="9.140625" style="14" customWidth="1"/>
    <col min="8224" max="8224" width="9.140625" style="14"/>
    <col min="8225" max="8226" width="9.140625" style="14" customWidth="1"/>
    <col min="8227" max="8448" width="9.140625" style="14"/>
    <col min="8449" max="8462" width="9.140625" style="14" customWidth="1"/>
    <col min="8463" max="8463" width="9.140625" style="14"/>
    <col min="8464" max="8479" width="9.140625" style="14" customWidth="1"/>
    <col min="8480" max="8480" width="9.140625" style="14"/>
    <col min="8481" max="8482" width="9.140625" style="14" customWidth="1"/>
    <col min="8483" max="8704" width="9.140625" style="14"/>
    <col min="8705" max="8718" width="9.140625" style="14" customWidth="1"/>
    <col min="8719" max="8719" width="9.140625" style="14"/>
    <col min="8720" max="8735" width="9.140625" style="14" customWidth="1"/>
    <col min="8736" max="8736" width="9.140625" style="14"/>
    <col min="8737" max="8738" width="9.140625" style="14" customWidth="1"/>
    <col min="8739" max="8960" width="9.140625" style="14"/>
    <col min="8961" max="8974" width="9.140625" style="14" customWidth="1"/>
    <col min="8975" max="8975" width="9.140625" style="14"/>
    <col min="8976" max="8991" width="9.140625" style="14" customWidth="1"/>
    <col min="8992" max="8992" width="9.140625" style="14"/>
    <col min="8993" max="8994" width="9.140625" style="14" customWidth="1"/>
    <col min="8995" max="9216" width="9.140625" style="14"/>
    <col min="9217" max="9230" width="9.140625" style="14" customWidth="1"/>
    <col min="9231" max="9231" width="9.140625" style="14"/>
    <col min="9232" max="9247" width="9.140625" style="14" customWidth="1"/>
    <col min="9248" max="9248" width="9.140625" style="14"/>
    <col min="9249" max="9250" width="9.140625" style="14" customWidth="1"/>
    <col min="9251" max="9472" width="9.140625" style="14"/>
    <col min="9473" max="9486" width="9.140625" style="14" customWidth="1"/>
    <col min="9487" max="9487" width="9.140625" style="14"/>
    <col min="9488" max="9503" width="9.140625" style="14" customWidth="1"/>
    <col min="9504" max="9504" width="9.140625" style="14"/>
    <col min="9505" max="9506" width="9.140625" style="14" customWidth="1"/>
    <col min="9507" max="9728" width="9.140625" style="14"/>
    <col min="9729" max="9742" width="9.140625" style="14" customWidth="1"/>
    <col min="9743" max="9743" width="9.140625" style="14"/>
    <col min="9744" max="9759" width="9.140625" style="14" customWidth="1"/>
    <col min="9760" max="9760" width="9.140625" style="14"/>
    <col min="9761" max="9762" width="9.140625" style="14" customWidth="1"/>
    <col min="9763" max="9984" width="9.140625" style="14"/>
    <col min="9985" max="9998" width="9.140625" style="14" customWidth="1"/>
    <col min="9999" max="9999" width="9.140625" style="14"/>
    <col min="10000" max="10015" width="9.140625" style="14" customWidth="1"/>
    <col min="10016" max="10016" width="9.140625" style="14"/>
    <col min="10017" max="10018" width="9.140625" style="14" customWidth="1"/>
    <col min="10019" max="10240" width="9.140625" style="14"/>
    <col min="10241" max="10254" width="9.140625" style="14" customWidth="1"/>
    <col min="10255" max="10255" width="9.140625" style="14"/>
    <col min="10256" max="10271" width="9.140625" style="14" customWidth="1"/>
    <col min="10272" max="10272" width="9.140625" style="14"/>
    <col min="10273" max="10274" width="9.140625" style="14" customWidth="1"/>
    <col min="10275" max="10496" width="9.140625" style="14"/>
    <col min="10497" max="10510" width="9.140625" style="14" customWidth="1"/>
    <col min="10511" max="10511" width="9.140625" style="14"/>
    <col min="10512" max="10527" width="9.140625" style="14" customWidth="1"/>
    <col min="10528" max="10528" width="9.140625" style="14"/>
    <col min="10529" max="10530" width="9.140625" style="14" customWidth="1"/>
    <col min="10531" max="10752" width="9.140625" style="14"/>
    <col min="10753" max="10766" width="9.140625" style="14" customWidth="1"/>
    <col min="10767" max="10767" width="9.140625" style="14"/>
    <col min="10768" max="10783" width="9.140625" style="14" customWidth="1"/>
    <col min="10784" max="10784" width="9.140625" style="14"/>
    <col min="10785" max="10786" width="9.140625" style="14" customWidth="1"/>
    <col min="10787" max="11008" width="9.140625" style="14"/>
    <col min="11009" max="11022" width="9.140625" style="14" customWidth="1"/>
    <col min="11023" max="11023" width="9.140625" style="14"/>
    <col min="11024" max="11039" width="9.140625" style="14" customWidth="1"/>
    <col min="11040" max="11040" width="9.140625" style="14"/>
    <col min="11041" max="11042" width="9.140625" style="14" customWidth="1"/>
    <col min="11043" max="11264" width="9.140625" style="14"/>
    <col min="11265" max="11278" width="9.140625" style="14" customWidth="1"/>
    <col min="11279" max="11279" width="9.140625" style="14"/>
    <col min="11280" max="11295" width="9.140625" style="14" customWidth="1"/>
    <col min="11296" max="11296" width="9.140625" style="14"/>
    <col min="11297" max="11298" width="9.140625" style="14" customWidth="1"/>
    <col min="11299" max="11520" width="9.140625" style="14"/>
    <col min="11521" max="11534" width="9.140625" style="14" customWidth="1"/>
    <col min="11535" max="11535" width="9.140625" style="14"/>
    <col min="11536" max="11551" width="9.140625" style="14" customWidth="1"/>
    <col min="11552" max="11552" width="9.140625" style="14"/>
    <col min="11553" max="11554" width="9.140625" style="14" customWidth="1"/>
    <col min="11555" max="11776" width="9.140625" style="14"/>
    <col min="11777" max="11790" width="9.140625" style="14" customWidth="1"/>
    <col min="11791" max="11791" width="9.140625" style="14"/>
    <col min="11792" max="11807" width="9.140625" style="14" customWidth="1"/>
    <col min="11808" max="11808" width="9.140625" style="14"/>
    <col min="11809" max="11810" width="9.140625" style="14" customWidth="1"/>
    <col min="11811" max="12032" width="9.140625" style="14"/>
    <col min="12033" max="12046" width="9.140625" style="14" customWidth="1"/>
    <col min="12047" max="12047" width="9.140625" style="14"/>
    <col min="12048" max="12063" width="9.140625" style="14" customWidth="1"/>
    <col min="12064" max="12064" width="9.140625" style="14"/>
    <col min="12065" max="12066" width="9.140625" style="14" customWidth="1"/>
    <col min="12067" max="12288" width="9.140625" style="14"/>
    <col min="12289" max="12302" width="9.140625" style="14" customWidth="1"/>
    <col min="12303" max="12303" width="9.140625" style="14"/>
    <col min="12304" max="12319" width="9.140625" style="14" customWidth="1"/>
    <col min="12320" max="12320" width="9.140625" style="14"/>
    <col min="12321" max="12322" width="9.140625" style="14" customWidth="1"/>
    <col min="12323" max="12544" width="9.140625" style="14"/>
    <col min="12545" max="12558" width="9.140625" style="14" customWidth="1"/>
    <col min="12559" max="12559" width="9.140625" style="14"/>
    <col min="12560" max="12575" width="9.140625" style="14" customWidth="1"/>
    <col min="12576" max="12576" width="9.140625" style="14"/>
    <col min="12577" max="12578" width="9.140625" style="14" customWidth="1"/>
    <col min="12579" max="12800" width="9.140625" style="14"/>
    <col min="12801" max="12814" width="9.140625" style="14" customWidth="1"/>
    <col min="12815" max="12815" width="9.140625" style="14"/>
    <col min="12816" max="12831" width="9.140625" style="14" customWidth="1"/>
    <col min="12832" max="12832" width="9.140625" style="14"/>
    <col min="12833" max="12834" width="9.140625" style="14" customWidth="1"/>
    <col min="12835" max="13056" width="9.140625" style="14"/>
    <col min="13057" max="13070" width="9.140625" style="14" customWidth="1"/>
    <col min="13071" max="13071" width="9.140625" style="14"/>
    <col min="13072" max="13087" width="9.140625" style="14" customWidth="1"/>
    <col min="13088" max="13088" width="9.140625" style="14"/>
    <col min="13089" max="13090" width="9.140625" style="14" customWidth="1"/>
    <col min="13091" max="13312" width="9.140625" style="14"/>
    <col min="13313" max="13326" width="9.140625" style="14" customWidth="1"/>
    <col min="13327" max="13327" width="9.140625" style="14"/>
    <col min="13328" max="13343" width="9.140625" style="14" customWidth="1"/>
    <col min="13344" max="13344" width="9.140625" style="14"/>
    <col min="13345" max="13346" width="9.140625" style="14" customWidth="1"/>
    <col min="13347" max="13568" width="9.140625" style="14"/>
    <col min="13569" max="13582" width="9.140625" style="14" customWidth="1"/>
    <col min="13583" max="13583" width="9.140625" style="14"/>
    <col min="13584" max="13599" width="9.140625" style="14" customWidth="1"/>
    <col min="13600" max="13600" width="9.140625" style="14"/>
    <col min="13601" max="13602" width="9.140625" style="14" customWidth="1"/>
    <col min="13603" max="13824" width="9.140625" style="14"/>
    <col min="13825" max="13838" width="9.140625" style="14" customWidth="1"/>
    <col min="13839" max="13839" width="9.140625" style="14"/>
    <col min="13840" max="13855" width="9.140625" style="14" customWidth="1"/>
    <col min="13856" max="13856" width="9.140625" style="14"/>
    <col min="13857" max="13858" width="9.140625" style="14" customWidth="1"/>
    <col min="13859" max="14080" width="9.140625" style="14"/>
    <col min="14081" max="14094" width="9.140625" style="14" customWidth="1"/>
    <col min="14095" max="14095" width="9.140625" style="14"/>
    <col min="14096" max="14111" width="9.140625" style="14" customWidth="1"/>
    <col min="14112" max="14112" width="9.140625" style="14"/>
    <col min="14113" max="14114" width="9.140625" style="14" customWidth="1"/>
    <col min="14115" max="14336" width="9.140625" style="14"/>
    <col min="14337" max="14350" width="9.140625" style="14" customWidth="1"/>
    <col min="14351" max="14351" width="9.140625" style="14"/>
    <col min="14352" max="14367" width="9.140625" style="14" customWidth="1"/>
    <col min="14368" max="14368" width="9.140625" style="14"/>
    <col min="14369" max="14370" width="9.140625" style="14" customWidth="1"/>
    <col min="14371" max="14592" width="9.140625" style="14"/>
    <col min="14593" max="14606" width="9.140625" style="14" customWidth="1"/>
    <col min="14607" max="14607" width="9.140625" style="14"/>
    <col min="14608" max="14623" width="9.140625" style="14" customWidth="1"/>
    <col min="14624" max="14624" width="9.140625" style="14"/>
    <col min="14625" max="14626" width="9.140625" style="14" customWidth="1"/>
    <col min="14627" max="14848" width="9.140625" style="14"/>
    <col min="14849" max="14862" width="9.140625" style="14" customWidth="1"/>
    <col min="14863" max="14863" width="9.140625" style="14"/>
    <col min="14864" max="14879" width="9.140625" style="14" customWidth="1"/>
    <col min="14880" max="14880" width="9.140625" style="14"/>
    <col min="14881" max="14882" width="9.140625" style="14" customWidth="1"/>
    <col min="14883" max="15104" width="9.140625" style="14"/>
    <col min="15105" max="15118" width="9.140625" style="14" customWidth="1"/>
    <col min="15119" max="15119" width="9.140625" style="14"/>
    <col min="15120" max="15135" width="9.140625" style="14" customWidth="1"/>
    <col min="15136" max="15136" width="9.140625" style="14"/>
    <col min="15137" max="15138" width="9.140625" style="14" customWidth="1"/>
    <col min="15139" max="15360" width="9.140625" style="14"/>
    <col min="15361" max="15374" width="9.140625" style="14" customWidth="1"/>
    <col min="15375" max="15375" width="9.140625" style="14"/>
    <col min="15376" max="15391" width="9.140625" style="14" customWidth="1"/>
    <col min="15392" max="15392" width="9.140625" style="14"/>
    <col min="15393" max="15394" width="9.140625" style="14" customWidth="1"/>
    <col min="15395" max="15616" width="9.140625" style="14"/>
    <col min="15617" max="15630" width="9.140625" style="14" customWidth="1"/>
    <col min="15631" max="15631" width="9.140625" style="14"/>
    <col min="15632" max="15647" width="9.140625" style="14" customWidth="1"/>
    <col min="15648" max="15648" width="9.140625" style="14"/>
    <col min="15649" max="15650" width="9.140625" style="14" customWidth="1"/>
    <col min="15651" max="15872" width="9.140625" style="14"/>
    <col min="15873" max="15886" width="9.140625" style="14" customWidth="1"/>
    <col min="15887" max="15887" width="9.140625" style="14"/>
    <col min="15888" max="15903" width="9.140625" style="14" customWidth="1"/>
    <col min="15904" max="15904" width="9.140625" style="14"/>
    <col min="15905" max="15906" width="9.140625" style="14" customWidth="1"/>
    <col min="15907" max="16128" width="9.140625" style="14"/>
    <col min="16129" max="16142" width="9.140625" style="14" customWidth="1"/>
    <col min="16143" max="16143" width="9.140625" style="14"/>
    <col min="16144" max="16159" width="9.140625" style="14" customWidth="1"/>
    <col min="16160" max="16160" width="9.140625" style="14"/>
    <col min="16161" max="16162" width="9.140625" style="14" customWidth="1"/>
    <col min="16163" max="16384" width="9.140625" style="14"/>
  </cols>
  <sheetData>
    <row r="1" spans="1:57">
      <c r="A1" s="11" t="s">
        <v>17</v>
      </c>
      <c r="L1" s="13"/>
    </row>
    <row r="2" spans="1:57">
      <c r="A2" s="11" t="s">
        <v>18</v>
      </c>
    </row>
    <row r="3" spans="1:57">
      <c r="A3" s="15"/>
      <c r="B3" s="16"/>
      <c r="C3" s="17" t="s">
        <v>138</v>
      </c>
      <c r="D3" s="18" t="s">
        <v>19</v>
      </c>
      <c r="E3" s="18" t="s">
        <v>20</v>
      </c>
      <c r="F3" s="19" t="s">
        <v>21</v>
      </c>
      <c r="G3" s="18" t="s">
        <v>22</v>
      </c>
      <c r="H3" s="18" t="s">
        <v>23</v>
      </c>
      <c r="I3" s="20" t="s">
        <v>24</v>
      </c>
      <c r="J3" s="17" t="s">
        <v>25</v>
      </c>
      <c r="K3" s="18" t="s">
        <v>26</v>
      </c>
      <c r="L3" s="19" t="s">
        <v>27</v>
      </c>
      <c r="M3" s="17" t="s">
        <v>28</v>
      </c>
      <c r="N3" s="18" t="s">
        <v>29</v>
      </c>
      <c r="O3" s="19" t="s">
        <v>30</v>
      </c>
      <c r="P3" s="20" t="s">
        <v>272</v>
      </c>
      <c r="Q3" s="17" t="s">
        <v>31</v>
      </c>
      <c r="R3" s="18" t="s">
        <v>32</v>
      </c>
      <c r="S3" s="19" t="s">
        <v>33</v>
      </c>
      <c r="T3" s="18" t="s">
        <v>34</v>
      </c>
      <c r="U3" s="20" t="s">
        <v>35</v>
      </c>
      <c r="V3" s="17" t="s">
        <v>36</v>
      </c>
      <c r="W3" s="18" t="s">
        <v>37</v>
      </c>
      <c r="X3" s="18" t="s">
        <v>38</v>
      </c>
      <c r="Y3" s="19" t="s">
        <v>39</v>
      </c>
      <c r="Z3" s="21" t="s">
        <v>271</v>
      </c>
      <c r="AA3" s="18" t="s">
        <v>40</v>
      </c>
      <c r="AB3" s="18" t="s">
        <v>41</v>
      </c>
      <c r="AC3" s="20" t="s">
        <v>42</v>
      </c>
      <c r="AD3" s="17" t="s">
        <v>43</v>
      </c>
      <c r="AE3" s="18" t="s">
        <v>44</v>
      </c>
      <c r="AF3" s="18" t="s">
        <v>45</v>
      </c>
      <c r="AG3" s="19" t="s">
        <v>46</v>
      </c>
      <c r="AH3" s="18" t="s">
        <v>47</v>
      </c>
      <c r="AI3" s="18" t="s">
        <v>48</v>
      </c>
      <c r="AJ3" s="20" t="s">
        <v>49</v>
      </c>
      <c r="AK3" s="21" t="s">
        <v>50</v>
      </c>
      <c r="AL3" s="17" t="s">
        <v>51</v>
      </c>
      <c r="AM3" s="18" t="s">
        <v>52</v>
      </c>
      <c r="AN3" s="19" t="s">
        <v>53</v>
      </c>
      <c r="AO3" s="20" t="s">
        <v>270</v>
      </c>
      <c r="AP3" s="17" t="s">
        <v>54</v>
      </c>
      <c r="AQ3" s="18" t="s">
        <v>55</v>
      </c>
      <c r="AR3" s="19" t="s">
        <v>56</v>
      </c>
      <c r="AS3" s="17" t="s">
        <v>57</v>
      </c>
      <c r="AT3" s="18" t="s">
        <v>58</v>
      </c>
      <c r="AU3" s="19" t="s">
        <v>59</v>
      </c>
      <c r="AV3" s="17" t="s">
        <v>60</v>
      </c>
      <c r="AW3" s="18" t="s">
        <v>61</v>
      </c>
      <c r="AX3" s="19" t="s">
        <v>62</v>
      </c>
      <c r="AY3" s="17" t="s">
        <v>63</v>
      </c>
      <c r="AZ3" s="18" t="s">
        <v>64</v>
      </c>
      <c r="BA3" s="19" t="s">
        <v>65</v>
      </c>
      <c r="BB3" s="18" t="s">
        <v>66</v>
      </c>
      <c r="BC3" s="18" t="s">
        <v>67</v>
      </c>
      <c r="BD3" s="20" t="s">
        <v>68</v>
      </c>
      <c r="BE3" s="21" t="s">
        <v>69</v>
      </c>
    </row>
    <row r="4" spans="1:57" s="44" customFormat="1">
      <c r="A4" s="22" t="s">
        <v>70</v>
      </c>
      <c r="B4" s="23" t="s">
        <v>71</v>
      </c>
      <c r="C4" s="24">
        <v>0.28999999999999998</v>
      </c>
      <c r="D4" s="25">
        <v>0.45</v>
      </c>
      <c r="E4" s="26">
        <v>0.57999999999999996</v>
      </c>
      <c r="F4" s="27">
        <v>0.94</v>
      </c>
      <c r="G4" s="28">
        <v>1.8</v>
      </c>
      <c r="H4" s="29">
        <v>2.7</v>
      </c>
      <c r="I4" s="30">
        <v>3.5</v>
      </c>
      <c r="J4" s="24">
        <v>4.5</v>
      </c>
      <c r="K4" s="25">
        <v>6.6</v>
      </c>
      <c r="L4" s="27">
        <v>8.9</v>
      </c>
      <c r="M4" s="31">
        <v>10</v>
      </c>
      <c r="N4" s="29">
        <v>15</v>
      </c>
      <c r="O4" s="32">
        <v>20</v>
      </c>
      <c r="P4" s="33">
        <v>17</v>
      </c>
      <c r="Q4" s="24">
        <v>18</v>
      </c>
      <c r="R4" s="34">
        <v>28</v>
      </c>
      <c r="S4" s="27">
        <v>38</v>
      </c>
      <c r="T4" s="35">
        <v>17</v>
      </c>
      <c r="U4" s="36">
        <v>17</v>
      </c>
      <c r="V4" s="31">
        <v>40</v>
      </c>
      <c r="W4" s="29">
        <v>60</v>
      </c>
      <c r="X4" s="29">
        <v>75</v>
      </c>
      <c r="Y4" s="32">
        <v>140</v>
      </c>
      <c r="Z4" s="37">
        <v>80</v>
      </c>
      <c r="AA4" s="35">
        <v>34.450000000000003</v>
      </c>
      <c r="AB4" s="38">
        <v>51.674999999999997</v>
      </c>
      <c r="AC4" s="36">
        <v>68.900000000000006</v>
      </c>
      <c r="AD4" s="24">
        <v>56</v>
      </c>
      <c r="AE4" s="25">
        <v>85</v>
      </c>
      <c r="AF4" s="26">
        <v>113</v>
      </c>
      <c r="AG4" s="27">
        <v>226</v>
      </c>
      <c r="AH4" s="39">
        <v>54.5</v>
      </c>
      <c r="AI4" s="40">
        <v>81.75</v>
      </c>
      <c r="AJ4" s="41">
        <v>109</v>
      </c>
      <c r="AK4" s="42">
        <v>23.715999999999998</v>
      </c>
      <c r="AL4" s="24">
        <v>104</v>
      </c>
      <c r="AM4" s="26">
        <v>148</v>
      </c>
      <c r="AN4" s="27">
        <v>190</v>
      </c>
      <c r="AO4" s="33">
        <v>185</v>
      </c>
      <c r="AP4" s="24">
        <v>99.725618616329498</v>
      </c>
      <c r="AQ4" s="25">
        <v>149.58840329666012</v>
      </c>
      <c r="AR4" s="27">
        <v>199.74800591271514</v>
      </c>
      <c r="AS4" s="24">
        <v>110.00000000000001</v>
      </c>
      <c r="AT4" s="25">
        <v>170</v>
      </c>
      <c r="AU4" s="27">
        <v>210</v>
      </c>
      <c r="AV4" s="31">
        <v>116</v>
      </c>
      <c r="AW4" s="29">
        <v>175</v>
      </c>
      <c r="AX4" s="32">
        <v>233</v>
      </c>
      <c r="AY4" s="24">
        <v>289</v>
      </c>
      <c r="AZ4" s="25">
        <v>440</v>
      </c>
      <c r="BA4" s="27">
        <v>585</v>
      </c>
      <c r="BB4" s="28">
        <v>420</v>
      </c>
      <c r="BC4" s="28">
        <v>610</v>
      </c>
      <c r="BD4" s="30">
        <v>780</v>
      </c>
      <c r="BE4" s="43">
        <v>1600</v>
      </c>
    </row>
    <row r="5" spans="1:57" s="44" customFormat="1">
      <c r="A5" s="45" t="s">
        <v>72</v>
      </c>
      <c r="B5" s="46" t="s">
        <v>73</v>
      </c>
      <c r="C5" s="47">
        <v>0.28000000000000003</v>
      </c>
      <c r="D5" s="48">
        <v>0.28000000000000003</v>
      </c>
      <c r="E5" s="49">
        <v>0.28000000000000003</v>
      </c>
      <c r="F5" s="50">
        <v>0.56000000000000005</v>
      </c>
      <c r="G5" s="51">
        <v>0.84</v>
      </c>
      <c r="H5" s="52">
        <v>0.84</v>
      </c>
      <c r="I5" s="53">
        <v>0.84</v>
      </c>
      <c r="J5" s="47">
        <v>0.4</v>
      </c>
      <c r="K5" s="48">
        <v>0.4</v>
      </c>
      <c r="L5" s="50">
        <v>0.4</v>
      </c>
      <c r="M5" s="54">
        <v>0.62</v>
      </c>
      <c r="N5" s="52">
        <v>0.62</v>
      </c>
      <c r="O5" s="55">
        <v>0.62</v>
      </c>
      <c r="P5" s="56">
        <v>0.51</v>
      </c>
      <c r="Q5" s="47">
        <v>0.59</v>
      </c>
      <c r="R5" s="57">
        <v>0.59</v>
      </c>
      <c r="S5" s="50">
        <v>0.59</v>
      </c>
      <c r="T5" s="58">
        <v>1.4</v>
      </c>
      <c r="U5" s="59">
        <v>1.3</v>
      </c>
      <c r="V5" s="54">
        <v>1.28</v>
      </c>
      <c r="W5" s="52">
        <v>1.28</v>
      </c>
      <c r="X5" s="52">
        <v>1.28</v>
      </c>
      <c r="Y5" s="55">
        <v>2.4</v>
      </c>
      <c r="Z5" s="60">
        <v>1.21</v>
      </c>
      <c r="AA5" s="58">
        <v>1.3</v>
      </c>
      <c r="AB5" s="61">
        <v>1.3</v>
      </c>
      <c r="AC5" s="59">
        <v>1.3</v>
      </c>
      <c r="AD5" s="47">
        <v>1.22</v>
      </c>
      <c r="AE5" s="48">
        <v>1.17</v>
      </c>
      <c r="AF5" s="49">
        <v>1.1499999999999999</v>
      </c>
      <c r="AG5" s="50">
        <v>2.5</v>
      </c>
      <c r="AH5" s="62">
        <v>1.25</v>
      </c>
      <c r="AI5" s="63">
        <v>1.25</v>
      </c>
      <c r="AJ5" s="64">
        <v>1.25</v>
      </c>
      <c r="AK5" s="65">
        <v>1.96</v>
      </c>
      <c r="AL5" s="47">
        <v>1.5</v>
      </c>
      <c r="AM5" s="49">
        <v>1.5</v>
      </c>
      <c r="AN5" s="50">
        <v>2.7</v>
      </c>
      <c r="AO5" s="56">
        <v>2.71</v>
      </c>
      <c r="AP5" s="47">
        <v>2.9680243635812351</v>
      </c>
      <c r="AQ5" s="48">
        <v>2.9680238749337327</v>
      </c>
      <c r="AR5" s="50">
        <v>2.968023862001711</v>
      </c>
      <c r="AS5" s="47">
        <v>3.6</v>
      </c>
      <c r="AT5" s="48">
        <v>3.6</v>
      </c>
      <c r="AU5" s="50">
        <v>3.4</v>
      </c>
      <c r="AV5" s="54">
        <v>2.9680243635812351</v>
      </c>
      <c r="AW5" s="52">
        <v>2.9680238749337327</v>
      </c>
      <c r="AX5" s="55">
        <v>2.968023862001711</v>
      </c>
      <c r="AY5" s="47">
        <v>3.8</v>
      </c>
      <c r="AZ5" s="48">
        <v>5.8</v>
      </c>
      <c r="BA5" s="50">
        <v>7.7</v>
      </c>
      <c r="BB5" s="57">
        <v>8.8000000000000007</v>
      </c>
      <c r="BC5" s="57">
        <v>8.6</v>
      </c>
      <c r="BD5" s="49">
        <v>8.4</v>
      </c>
      <c r="BE5" s="66">
        <v>12</v>
      </c>
    </row>
    <row r="6" spans="1:57" s="44" customFormat="1">
      <c r="A6" s="67" t="s">
        <v>74</v>
      </c>
      <c r="B6" s="68" t="s">
        <v>71</v>
      </c>
      <c r="C6" s="69">
        <v>1.1599999999999999</v>
      </c>
      <c r="D6" s="70">
        <v>1.8</v>
      </c>
      <c r="E6" s="71">
        <v>2.3199999999999998</v>
      </c>
      <c r="F6" s="72">
        <v>3.76</v>
      </c>
      <c r="G6" s="73">
        <v>7.16</v>
      </c>
      <c r="H6" s="74">
        <v>10.74</v>
      </c>
      <c r="I6" s="75">
        <v>14.02</v>
      </c>
      <c r="J6" s="69">
        <v>17.850000000000001</v>
      </c>
      <c r="K6" s="70">
        <v>26.54</v>
      </c>
      <c r="L6" s="72">
        <v>35.700000000000003</v>
      </c>
      <c r="M6" s="76">
        <v>40.1</v>
      </c>
      <c r="N6" s="74">
        <v>60.13</v>
      </c>
      <c r="O6" s="77">
        <v>80.92</v>
      </c>
      <c r="P6" s="78">
        <v>90</v>
      </c>
      <c r="Q6" s="69">
        <v>72</v>
      </c>
      <c r="R6" s="79">
        <v>112</v>
      </c>
      <c r="S6" s="72">
        <v>152</v>
      </c>
      <c r="T6" s="80">
        <v>68</v>
      </c>
      <c r="U6" s="81">
        <v>69</v>
      </c>
      <c r="V6" s="76">
        <v>160</v>
      </c>
      <c r="W6" s="74">
        <v>240</v>
      </c>
      <c r="X6" s="74">
        <v>300</v>
      </c>
      <c r="Y6" s="77">
        <v>560</v>
      </c>
      <c r="Z6" s="82">
        <v>340</v>
      </c>
      <c r="AA6" s="80">
        <v>137.80000000000001</v>
      </c>
      <c r="AB6" s="83">
        <v>206.7</v>
      </c>
      <c r="AC6" s="81">
        <v>275.60000000000002</v>
      </c>
      <c r="AD6" s="69">
        <v>225.53</v>
      </c>
      <c r="AE6" s="70">
        <v>338</v>
      </c>
      <c r="AF6" s="71">
        <v>451</v>
      </c>
      <c r="AG6" s="72">
        <v>902.13</v>
      </c>
      <c r="AH6" s="84">
        <v>218</v>
      </c>
      <c r="AI6" s="85">
        <v>327</v>
      </c>
      <c r="AJ6" s="86">
        <v>436</v>
      </c>
      <c r="AK6" s="87">
        <v>94.86399999999999</v>
      </c>
      <c r="AL6" s="69">
        <v>416</v>
      </c>
      <c r="AM6" s="71">
        <v>592</v>
      </c>
      <c r="AN6" s="72">
        <v>760</v>
      </c>
      <c r="AO6" s="78">
        <v>970</v>
      </c>
      <c r="AP6" s="69">
        <v>400</v>
      </c>
      <c r="AQ6" s="70">
        <v>600</v>
      </c>
      <c r="AR6" s="72">
        <v>800</v>
      </c>
      <c r="AS6" s="69">
        <v>450</v>
      </c>
      <c r="AT6" s="70">
        <v>680</v>
      </c>
      <c r="AU6" s="72">
        <v>830.00000000000011</v>
      </c>
      <c r="AV6" s="76">
        <v>464</v>
      </c>
      <c r="AW6" s="74">
        <v>700</v>
      </c>
      <c r="AX6" s="77">
        <v>932</v>
      </c>
      <c r="AY6" s="69">
        <v>1156</v>
      </c>
      <c r="AZ6" s="70">
        <v>1760</v>
      </c>
      <c r="BA6" s="72">
        <v>2340</v>
      </c>
      <c r="BB6" s="73">
        <v>1700</v>
      </c>
      <c r="BC6" s="73">
        <v>2400</v>
      </c>
      <c r="BD6" s="75">
        <v>3100</v>
      </c>
      <c r="BE6" s="88">
        <v>6300</v>
      </c>
    </row>
    <row r="7" spans="1:57" s="44" customFormat="1">
      <c r="A7" s="45" t="s">
        <v>75</v>
      </c>
      <c r="B7" s="46" t="s">
        <v>73</v>
      </c>
      <c r="C7" s="47">
        <v>1.1200000000000001</v>
      </c>
      <c r="D7" s="48">
        <v>1.1200000000000001</v>
      </c>
      <c r="E7" s="49">
        <v>1.1200000000000001</v>
      </c>
      <c r="F7" s="50">
        <v>2.2400000000000002</v>
      </c>
      <c r="G7" s="51">
        <v>3.36</v>
      </c>
      <c r="H7" s="52">
        <v>3.36</v>
      </c>
      <c r="I7" s="53">
        <v>3.36</v>
      </c>
      <c r="J7" s="47">
        <v>1.61</v>
      </c>
      <c r="K7" s="48">
        <v>1.61</v>
      </c>
      <c r="L7" s="50">
        <v>1.61</v>
      </c>
      <c r="M7" s="54">
        <v>2.4900000000000002</v>
      </c>
      <c r="N7" s="52">
        <v>2.4900000000000002</v>
      </c>
      <c r="O7" s="55">
        <v>2.4900000000000002</v>
      </c>
      <c r="P7" s="56">
        <v>2.7</v>
      </c>
      <c r="Q7" s="47">
        <v>2.36</v>
      </c>
      <c r="R7" s="57">
        <v>2.36</v>
      </c>
      <c r="S7" s="50">
        <v>2.36</v>
      </c>
      <c r="T7" s="58">
        <v>5.7</v>
      </c>
      <c r="U7" s="59">
        <v>5.0999999999999996</v>
      </c>
      <c r="V7" s="54">
        <v>5.12</v>
      </c>
      <c r="W7" s="52">
        <v>5.12</v>
      </c>
      <c r="X7" s="52">
        <v>5.12</v>
      </c>
      <c r="Y7" s="55">
        <v>9.6</v>
      </c>
      <c r="Z7" s="60">
        <v>5.0999999999999996</v>
      </c>
      <c r="AA7" s="58">
        <v>5.2</v>
      </c>
      <c r="AB7" s="61">
        <v>5.2</v>
      </c>
      <c r="AC7" s="59">
        <v>5.2</v>
      </c>
      <c r="AD7" s="47">
        <v>4.9800000000000004</v>
      </c>
      <c r="AE7" s="48">
        <v>4.97</v>
      </c>
      <c r="AF7" s="49">
        <v>4.9800000000000004</v>
      </c>
      <c r="AG7" s="50">
        <v>9.9600000000000009</v>
      </c>
      <c r="AH7" s="62">
        <v>5</v>
      </c>
      <c r="AI7" s="63">
        <v>5</v>
      </c>
      <c r="AJ7" s="64">
        <v>5</v>
      </c>
      <c r="AK7" s="65">
        <v>7.84</v>
      </c>
      <c r="AL7" s="47">
        <v>6</v>
      </c>
      <c r="AM7" s="49">
        <v>6</v>
      </c>
      <c r="AN7" s="50">
        <v>10.8</v>
      </c>
      <c r="AO7" s="56">
        <v>14.4</v>
      </c>
      <c r="AP7" s="47">
        <v>12</v>
      </c>
      <c r="AQ7" s="48">
        <v>12</v>
      </c>
      <c r="AR7" s="50">
        <v>12</v>
      </c>
      <c r="AS7" s="47">
        <v>14</v>
      </c>
      <c r="AT7" s="48">
        <v>14</v>
      </c>
      <c r="AU7" s="50">
        <v>13</v>
      </c>
      <c r="AV7" s="54">
        <v>12</v>
      </c>
      <c r="AW7" s="52">
        <v>12</v>
      </c>
      <c r="AX7" s="55">
        <v>12</v>
      </c>
      <c r="AY7" s="47">
        <v>15.2</v>
      </c>
      <c r="AZ7" s="48">
        <v>23.2</v>
      </c>
      <c r="BA7" s="50">
        <v>30.8</v>
      </c>
      <c r="BB7" s="57">
        <v>35</v>
      </c>
      <c r="BC7" s="57">
        <v>34</v>
      </c>
      <c r="BD7" s="49">
        <v>34</v>
      </c>
      <c r="BE7" s="66">
        <v>48</v>
      </c>
    </row>
    <row r="8" spans="1:57" s="44" customFormat="1">
      <c r="A8" s="67" t="s">
        <v>76</v>
      </c>
      <c r="B8" s="68" t="s">
        <v>77</v>
      </c>
      <c r="C8" s="69">
        <v>1.04</v>
      </c>
      <c r="D8" s="70">
        <v>1.61</v>
      </c>
      <c r="E8" s="71">
        <v>2.0699999999999998</v>
      </c>
      <c r="F8" s="72">
        <v>1.68</v>
      </c>
      <c r="G8" s="73">
        <v>2.13</v>
      </c>
      <c r="H8" s="74">
        <v>3.2</v>
      </c>
      <c r="I8" s="75">
        <v>4.17</v>
      </c>
      <c r="J8" s="69">
        <v>11.1</v>
      </c>
      <c r="K8" s="70">
        <v>16.5</v>
      </c>
      <c r="L8" s="72">
        <v>22.2</v>
      </c>
      <c r="M8" s="76">
        <v>16.100000000000001</v>
      </c>
      <c r="N8" s="74">
        <v>24.15</v>
      </c>
      <c r="O8" s="77">
        <v>32.5</v>
      </c>
      <c r="P8" s="78">
        <v>33</v>
      </c>
      <c r="Q8" s="69">
        <v>30.51</v>
      </c>
      <c r="R8" s="79">
        <v>47.46</v>
      </c>
      <c r="S8" s="72">
        <v>64.41</v>
      </c>
      <c r="T8" s="80">
        <v>12</v>
      </c>
      <c r="U8" s="81">
        <v>13</v>
      </c>
      <c r="V8" s="76">
        <v>31.25</v>
      </c>
      <c r="W8" s="74">
        <v>46.88</v>
      </c>
      <c r="X8" s="74">
        <v>58.59</v>
      </c>
      <c r="Y8" s="77">
        <v>58.33</v>
      </c>
      <c r="Z8" s="82">
        <v>66</v>
      </c>
      <c r="AA8" s="80">
        <v>26.5</v>
      </c>
      <c r="AB8" s="83">
        <v>39.75</v>
      </c>
      <c r="AC8" s="81">
        <v>53</v>
      </c>
      <c r="AD8" s="69">
        <v>45.3</v>
      </c>
      <c r="AE8" s="70">
        <v>68</v>
      </c>
      <c r="AF8" s="71">
        <v>90.6</v>
      </c>
      <c r="AG8" s="72">
        <v>90.6</v>
      </c>
      <c r="AH8" s="84">
        <v>43.6</v>
      </c>
      <c r="AI8" s="85">
        <v>65.400000000000006</v>
      </c>
      <c r="AJ8" s="86">
        <v>87.2</v>
      </c>
      <c r="AK8" s="87">
        <v>12.1</v>
      </c>
      <c r="AL8" s="69">
        <v>69.33</v>
      </c>
      <c r="AM8" s="71">
        <v>98.67</v>
      </c>
      <c r="AN8" s="72">
        <v>70.37</v>
      </c>
      <c r="AO8" s="78">
        <v>68</v>
      </c>
      <c r="AP8" s="69">
        <v>33.299999999999997</v>
      </c>
      <c r="AQ8" s="70">
        <v>50.4</v>
      </c>
      <c r="AR8" s="72">
        <v>66.599999999999994</v>
      </c>
      <c r="AS8" s="69">
        <v>31</v>
      </c>
      <c r="AT8" s="70">
        <v>47</v>
      </c>
      <c r="AU8" s="72">
        <v>62</v>
      </c>
      <c r="AV8" s="76">
        <v>38.659999999999997</v>
      </c>
      <c r="AW8" s="74">
        <v>58.33</v>
      </c>
      <c r="AX8" s="77">
        <v>77.66</v>
      </c>
      <c r="AY8" s="69">
        <v>76.099999999999994</v>
      </c>
      <c r="AZ8" s="70">
        <v>75.86</v>
      </c>
      <c r="BA8" s="72">
        <v>75.97</v>
      </c>
      <c r="BB8" s="73">
        <v>47</v>
      </c>
      <c r="BC8" s="73">
        <v>71</v>
      </c>
      <c r="BD8" s="75">
        <v>93</v>
      </c>
      <c r="BE8" s="88">
        <v>130</v>
      </c>
    </row>
    <row r="9" spans="1:57" s="44" customFormat="1">
      <c r="A9" s="45" t="s">
        <v>78</v>
      </c>
      <c r="B9" s="46" t="s">
        <v>79</v>
      </c>
      <c r="C9" s="47">
        <v>0.35</v>
      </c>
      <c r="D9" s="48">
        <v>0.54</v>
      </c>
      <c r="E9" s="49">
        <v>0.69</v>
      </c>
      <c r="F9" s="50">
        <v>0.56000000000000005</v>
      </c>
      <c r="G9" s="51">
        <v>0.71</v>
      </c>
      <c r="H9" s="52">
        <v>1.07</v>
      </c>
      <c r="I9" s="53">
        <v>1.39</v>
      </c>
      <c r="J9" s="47">
        <v>3.7</v>
      </c>
      <c r="K9" s="48">
        <v>5.5</v>
      </c>
      <c r="L9" s="50">
        <v>7.4</v>
      </c>
      <c r="M9" s="54">
        <v>5.37</v>
      </c>
      <c r="N9" s="52">
        <v>8.0500000000000007</v>
      </c>
      <c r="O9" s="55">
        <v>10.83</v>
      </c>
      <c r="P9" s="56">
        <v>11</v>
      </c>
      <c r="Q9" s="47">
        <v>10.17</v>
      </c>
      <c r="R9" s="57">
        <v>15.82</v>
      </c>
      <c r="S9" s="50">
        <v>21.47</v>
      </c>
      <c r="T9" s="58">
        <v>4</v>
      </c>
      <c r="U9" s="59">
        <v>4.5</v>
      </c>
      <c r="V9" s="54">
        <v>10.42</v>
      </c>
      <c r="W9" s="52">
        <v>15.63</v>
      </c>
      <c r="X9" s="52">
        <v>19.53</v>
      </c>
      <c r="Y9" s="55">
        <v>19.440000000000001</v>
      </c>
      <c r="Z9" s="60">
        <v>22</v>
      </c>
      <c r="AA9" s="58">
        <v>8.8333333333333339</v>
      </c>
      <c r="AB9" s="89">
        <v>13.25</v>
      </c>
      <c r="AC9" s="90">
        <v>17.666666666666668</v>
      </c>
      <c r="AD9" s="47">
        <v>15.1</v>
      </c>
      <c r="AE9" s="48">
        <v>22.67</v>
      </c>
      <c r="AF9" s="49">
        <v>30.2</v>
      </c>
      <c r="AG9" s="50">
        <v>30.2</v>
      </c>
      <c r="AH9" s="91">
        <v>14.533333333333331</v>
      </c>
      <c r="AI9" s="92">
        <v>21.8</v>
      </c>
      <c r="AJ9" s="93">
        <v>29.066666666666663</v>
      </c>
      <c r="AK9" s="65">
        <v>4.0333333333333332</v>
      </c>
      <c r="AL9" s="47">
        <v>23.11</v>
      </c>
      <c r="AM9" s="49">
        <v>32.89</v>
      </c>
      <c r="AN9" s="50">
        <v>23.46</v>
      </c>
      <c r="AO9" s="56">
        <v>23</v>
      </c>
      <c r="AP9" s="47">
        <v>11.1</v>
      </c>
      <c r="AQ9" s="48">
        <v>16.66</v>
      </c>
      <c r="AR9" s="50">
        <v>22.2</v>
      </c>
      <c r="AS9" s="47">
        <v>10</v>
      </c>
      <c r="AT9" s="48">
        <v>16</v>
      </c>
      <c r="AU9" s="50">
        <v>21</v>
      </c>
      <c r="AV9" s="54">
        <v>13</v>
      </c>
      <c r="AW9" s="52">
        <v>19.329999999999998</v>
      </c>
      <c r="AX9" s="55">
        <v>26</v>
      </c>
      <c r="AY9" s="47">
        <v>25.36</v>
      </c>
      <c r="AZ9" s="48">
        <v>25.29</v>
      </c>
      <c r="BA9" s="50">
        <v>25.32</v>
      </c>
      <c r="BB9" s="57">
        <v>16</v>
      </c>
      <c r="BC9" s="57">
        <v>24</v>
      </c>
      <c r="BD9" s="49">
        <v>31</v>
      </c>
      <c r="BE9" s="66">
        <v>44</v>
      </c>
    </row>
    <row r="10" spans="1:57" s="44" customFormat="1">
      <c r="A10" s="67" t="s">
        <v>80</v>
      </c>
      <c r="B10" s="68" t="s">
        <v>81</v>
      </c>
      <c r="C10" s="69">
        <v>11.2</v>
      </c>
      <c r="D10" s="70">
        <v>16.8</v>
      </c>
      <c r="E10" s="71">
        <v>22.4</v>
      </c>
      <c r="F10" s="72">
        <v>11.2</v>
      </c>
      <c r="G10" s="73">
        <v>4.7</v>
      </c>
      <c r="H10" s="74">
        <v>6.8</v>
      </c>
      <c r="I10" s="75">
        <v>9</v>
      </c>
      <c r="J10" s="69">
        <v>37</v>
      </c>
      <c r="K10" s="70">
        <v>54</v>
      </c>
      <c r="L10" s="72">
        <v>73</v>
      </c>
      <c r="M10" s="76">
        <v>21</v>
      </c>
      <c r="N10" s="74">
        <v>33</v>
      </c>
      <c r="O10" s="77">
        <v>43</v>
      </c>
      <c r="P10" s="78">
        <v>56</v>
      </c>
      <c r="Q10" s="69">
        <v>28.7</v>
      </c>
      <c r="R10" s="79">
        <v>43</v>
      </c>
      <c r="S10" s="72">
        <v>56</v>
      </c>
      <c r="T10" s="94">
        <v>4</v>
      </c>
      <c r="U10" s="95">
        <v>6.5</v>
      </c>
      <c r="V10" s="76">
        <v>7.8</v>
      </c>
      <c r="W10" s="74">
        <v>12</v>
      </c>
      <c r="X10" s="74">
        <v>15</v>
      </c>
      <c r="Y10" s="77">
        <v>7.5</v>
      </c>
      <c r="Z10" s="82">
        <v>22</v>
      </c>
      <c r="AA10" s="94">
        <v>8.35</v>
      </c>
      <c r="AB10" s="83">
        <v>12.525</v>
      </c>
      <c r="AC10" s="81">
        <v>16.7</v>
      </c>
      <c r="AD10" s="69">
        <v>11</v>
      </c>
      <c r="AE10" s="70">
        <v>17</v>
      </c>
      <c r="AF10" s="71">
        <v>23</v>
      </c>
      <c r="AG10" s="72">
        <v>11.5</v>
      </c>
      <c r="AH10" s="84">
        <v>11.539417262231996</v>
      </c>
      <c r="AI10" s="85">
        <v>17.309125893347996</v>
      </c>
      <c r="AJ10" s="86">
        <v>23.078834524463993</v>
      </c>
      <c r="AK10" s="96">
        <v>2.66</v>
      </c>
      <c r="AL10" s="69">
        <v>13.8</v>
      </c>
      <c r="AM10" s="71">
        <v>20.2</v>
      </c>
      <c r="AN10" s="72">
        <v>6.9</v>
      </c>
      <c r="AO10" s="78">
        <v>7.2</v>
      </c>
      <c r="AP10" s="69">
        <v>2.7</v>
      </c>
      <c r="AQ10" s="70">
        <v>3.9</v>
      </c>
      <c r="AR10" s="72">
        <v>5.2</v>
      </c>
      <c r="AS10" s="69">
        <v>2.9</v>
      </c>
      <c r="AT10" s="70">
        <v>4.4000000000000004</v>
      </c>
      <c r="AU10" s="72">
        <v>5.8</v>
      </c>
      <c r="AV10" s="76">
        <v>2.7</v>
      </c>
      <c r="AW10" s="74">
        <v>3.9</v>
      </c>
      <c r="AX10" s="77">
        <v>5.2</v>
      </c>
      <c r="AY10" s="69">
        <v>4.4000000000000004</v>
      </c>
      <c r="AZ10" s="70">
        <v>3.3</v>
      </c>
      <c r="BA10" s="72">
        <v>2.2000000000000002</v>
      </c>
      <c r="BB10" s="73">
        <v>1.1000000000000001</v>
      </c>
      <c r="BC10" s="73">
        <v>1.7</v>
      </c>
      <c r="BD10" s="75">
        <v>2.2000000000000002</v>
      </c>
      <c r="BE10" s="88">
        <v>1.6</v>
      </c>
    </row>
    <row r="11" spans="1:57" s="44" customFormat="1">
      <c r="A11" s="45" t="s">
        <v>82</v>
      </c>
      <c r="B11" s="46" t="s">
        <v>83</v>
      </c>
      <c r="C11" s="47">
        <v>0.5</v>
      </c>
      <c r="D11" s="48">
        <v>0.7</v>
      </c>
      <c r="E11" s="49">
        <v>0.99</v>
      </c>
      <c r="F11" s="50">
        <v>0.5</v>
      </c>
      <c r="G11" s="51">
        <v>0.7</v>
      </c>
      <c r="H11" s="52">
        <v>1</v>
      </c>
      <c r="I11" s="53">
        <v>1.3</v>
      </c>
      <c r="J11" s="47">
        <v>12</v>
      </c>
      <c r="K11" s="48">
        <v>18</v>
      </c>
      <c r="L11" s="50">
        <v>24</v>
      </c>
      <c r="M11" s="54">
        <v>8.1999999999999993</v>
      </c>
      <c r="N11" s="52">
        <v>12</v>
      </c>
      <c r="O11" s="55">
        <v>16</v>
      </c>
      <c r="P11" s="56">
        <v>24</v>
      </c>
      <c r="Q11" s="47">
        <v>19.3</v>
      </c>
      <c r="R11" s="57">
        <v>29</v>
      </c>
      <c r="S11" s="50">
        <v>39</v>
      </c>
      <c r="T11" s="58">
        <v>5</v>
      </c>
      <c r="U11" s="90">
        <v>11</v>
      </c>
      <c r="V11" s="54">
        <v>9.8000000000000007</v>
      </c>
      <c r="W11" s="52">
        <v>15</v>
      </c>
      <c r="X11" s="52">
        <v>19</v>
      </c>
      <c r="Y11" s="55">
        <v>9.5</v>
      </c>
      <c r="Z11" s="60">
        <v>31</v>
      </c>
      <c r="AA11" s="58">
        <v>9.24</v>
      </c>
      <c r="AB11" s="89">
        <v>13.86</v>
      </c>
      <c r="AC11" s="90">
        <v>18.48</v>
      </c>
      <c r="AD11" s="47">
        <v>17</v>
      </c>
      <c r="AE11" s="48">
        <v>26</v>
      </c>
      <c r="AF11" s="49">
        <v>34</v>
      </c>
      <c r="AG11" s="50">
        <v>17</v>
      </c>
      <c r="AH11" s="91">
        <v>14.036000000000001</v>
      </c>
      <c r="AI11" s="92">
        <v>21.054000000000002</v>
      </c>
      <c r="AJ11" s="93">
        <v>28.072000000000003</v>
      </c>
      <c r="AK11" s="65">
        <v>2.9</v>
      </c>
      <c r="AL11" s="47">
        <v>21.8</v>
      </c>
      <c r="AM11" s="49">
        <v>33</v>
      </c>
      <c r="AN11" s="50">
        <v>10.9</v>
      </c>
      <c r="AO11" s="56">
        <v>12</v>
      </c>
      <c r="AP11" s="47">
        <v>7.3</v>
      </c>
      <c r="AQ11" s="48">
        <v>11</v>
      </c>
      <c r="AR11" s="50">
        <v>15</v>
      </c>
      <c r="AS11" s="47">
        <v>7.8</v>
      </c>
      <c r="AT11" s="48">
        <v>12</v>
      </c>
      <c r="AU11" s="50">
        <v>15</v>
      </c>
      <c r="AV11" s="54">
        <v>7.3</v>
      </c>
      <c r="AW11" s="52">
        <v>11</v>
      </c>
      <c r="AX11" s="55">
        <v>15</v>
      </c>
      <c r="AY11" s="47">
        <v>27</v>
      </c>
      <c r="AZ11" s="48">
        <v>19.8</v>
      </c>
      <c r="BA11" s="50">
        <v>13.2</v>
      </c>
      <c r="BB11" s="57">
        <v>6.5</v>
      </c>
      <c r="BC11" s="57">
        <v>10</v>
      </c>
      <c r="BD11" s="49">
        <v>13</v>
      </c>
      <c r="BE11" s="66">
        <v>6.5</v>
      </c>
    </row>
    <row r="12" spans="1:57" s="44" customFormat="1">
      <c r="A12" s="97" t="s">
        <v>84</v>
      </c>
      <c r="B12" s="98" t="s">
        <v>85</v>
      </c>
      <c r="C12" s="99">
        <v>125.3</v>
      </c>
      <c r="D12" s="100">
        <v>83.5</v>
      </c>
      <c r="E12" s="101">
        <v>62.6</v>
      </c>
      <c r="F12" s="102">
        <v>31.3</v>
      </c>
      <c r="G12" s="103">
        <v>33.200000000000003</v>
      </c>
      <c r="H12" s="104">
        <v>22.9</v>
      </c>
      <c r="I12" s="105">
        <v>17.3</v>
      </c>
      <c r="J12" s="99">
        <v>18.600000000000001</v>
      </c>
      <c r="K12" s="100">
        <v>12.7</v>
      </c>
      <c r="L12" s="102">
        <v>9.4</v>
      </c>
      <c r="M12" s="106">
        <v>13.6</v>
      </c>
      <c r="N12" s="104">
        <v>8.6999999999999993</v>
      </c>
      <c r="O12" s="107">
        <v>6.7</v>
      </c>
      <c r="P12" s="108">
        <v>7.5520399999999999</v>
      </c>
      <c r="Q12" s="99">
        <v>11</v>
      </c>
      <c r="R12" s="109">
        <v>7.3</v>
      </c>
      <c r="S12" s="102">
        <v>5.6</v>
      </c>
      <c r="T12" s="110">
        <v>14</v>
      </c>
      <c r="U12" s="111">
        <v>10</v>
      </c>
      <c r="V12" s="106">
        <v>8.6</v>
      </c>
      <c r="W12" s="104">
        <v>5.6</v>
      </c>
      <c r="X12" s="104">
        <v>4.5</v>
      </c>
      <c r="Y12" s="107">
        <v>2.5</v>
      </c>
      <c r="Z12" s="112">
        <v>3.4150700000000001</v>
      </c>
      <c r="AA12" s="110">
        <v>7.7950607660418818</v>
      </c>
      <c r="AB12" s="113">
        <v>5.1967071773612545</v>
      </c>
      <c r="AC12" s="111">
        <v>3.8975303830209409</v>
      </c>
      <c r="AD12" s="99">
        <v>6.7</v>
      </c>
      <c r="AE12" s="100">
        <v>4.7</v>
      </c>
      <c r="AF12" s="101">
        <v>3.6</v>
      </c>
      <c r="AG12" s="102">
        <v>1.5</v>
      </c>
      <c r="AH12" s="114">
        <v>6.1008280054501549</v>
      </c>
      <c r="AI12" s="115">
        <v>4.067218670300103</v>
      </c>
      <c r="AJ12" s="116">
        <v>3.0504140027250775</v>
      </c>
      <c r="AK12" s="117">
        <v>10.764625015266196</v>
      </c>
      <c r="AL12" s="99">
        <v>3.5</v>
      </c>
      <c r="AM12" s="101">
        <v>2.4</v>
      </c>
      <c r="AN12" s="102">
        <v>2.2000000000000002</v>
      </c>
      <c r="AO12" s="108">
        <v>2.0802800000000001</v>
      </c>
      <c r="AP12" s="99">
        <v>4.5999999999999996</v>
      </c>
      <c r="AQ12" s="100">
        <v>3.2</v>
      </c>
      <c r="AR12" s="102">
        <v>2.4</v>
      </c>
      <c r="AS12" s="99">
        <v>2.9</v>
      </c>
      <c r="AT12" s="100">
        <v>1.9</v>
      </c>
      <c r="AU12" s="102">
        <v>1.7</v>
      </c>
      <c r="AV12" s="106">
        <v>4.5999999999999996</v>
      </c>
      <c r="AW12" s="104">
        <v>3.2</v>
      </c>
      <c r="AX12" s="107">
        <v>2.4</v>
      </c>
      <c r="AY12" s="99">
        <v>1.7</v>
      </c>
      <c r="AZ12" s="100">
        <v>1</v>
      </c>
      <c r="BA12" s="102">
        <v>0.8</v>
      </c>
      <c r="BB12" s="103">
        <v>1.3</v>
      </c>
      <c r="BC12" s="103">
        <v>0.9</v>
      </c>
      <c r="BD12" s="105">
        <v>0.7</v>
      </c>
      <c r="BE12" s="118">
        <v>0.49000000000000005</v>
      </c>
    </row>
    <row r="13" spans="1:57" s="44" customFormat="1">
      <c r="A13" s="119" t="s">
        <v>86</v>
      </c>
      <c r="B13" s="120" t="s">
        <v>87</v>
      </c>
      <c r="C13" s="121">
        <v>25</v>
      </c>
      <c r="D13" s="122">
        <v>34</v>
      </c>
      <c r="E13" s="123">
        <v>43</v>
      </c>
      <c r="F13" s="124">
        <v>79</v>
      </c>
      <c r="G13" s="125">
        <v>40</v>
      </c>
      <c r="H13" s="126">
        <v>55</v>
      </c>
      <c r="I13" s="127">
        <v>70</v>
      </c>
      <c r="J13" s="121">
        <v>64</v>
      </c>
      <c r="K13" s="122">
        <v>88</v>
      </c>
      <c r="L13" s="124">
        <v>112</v>
      </c>
      <c r="M13" s="128">
        <v>80</v>
      </c>
      <c r="N13" s="126">
        <v>110</v>
      </c>
      <c r="O13" s="129">
        <v>140</v>
      </c>
      <c r="P13" s="130">
        <v>140</v>
      </c>
      <c r="Q13" s="121">
        <v>94</v>
      </c>
      <c r="R13" s="131">
        <v>130</v>
      </c>
      <c r="S13" s="124">
        <v>166</v>
      </c>
      <c r="T13" s="132">
        <v>50</v>
      </c>
      <c r="U13" s="133">
        <v>50</v>
      </c>
      <c r="V13" s="128">
        <v>120</v>
      </c>
      <c r="W13" s="126">
        <v>165</v>
      </c>
      <c r="X13" s="126">
        <v>210</v>
      </c>
      <c r="Y13" s="129">
        <v>390</v>
      </c>
      <c r="Z13" s="134">
        <v>210</v>
      </c>
      <c r="AA13" s="132">
        <v>120</v>
      </c>
      <c r="AB13" s="135">
        <v>165</v>
      </c>
      <c r="AC13" s="133">
        <v>210</v>
      </c>
      <c r="AD13" s="121">
        <v>160</v>
      </c>
      <c r="AE13" s="122">
        <v>220</v>
      </c>
      <c r="AF13" s="123">
        <v>280</v>
      </c>
      <c r="AG13" s="124">
        <v>520</v>
      </c>
      <c r="AH13" s="136">
        <v>160</v>
      </c>
      <c r="AI13" s="137">
        <v>220</v>
      </c>
      <c r="AJ13" s="138">
        <v>280</v>
      </c>
      <c r="AK13" s="139">
        <v>50</v>
      </c>
      <c r="AL13" s="121">
        <v>160</v>
      </c>
      <c r="AM13" s="123">
        <v>220</v>
      </c>
      <c r="AN13" s="124">
        <v>280</v>
      </c>
      <c r="AO13" s="130">
        <v>280</v>
      </c>
      <c r="AP13" s="121">
        <v>220</v>
      </c>
      <c r="AQ13" s="122">
        <v>310</v>
      </c>
      <c r="AR13" s="124">
        <v>400</v>
      </c>
      <c r="AS13" s="121">
        <v>220</v>
      </c>
      <c r="AT13" s="122">
        <v>310</v>
      </c>
      <c r="AU13" s="124">
        <v>400</v>
      </c>
      <c r="AV13" s="128">
        <v>220</v>
      </c>
      <c r="AW13" s="126">
        <v>310</v>
      </c>
      <c r="AX13" s="129">
        <v>400</v>
      </c>
      <c r="AY13" s="121">
        <v>240</v>
      </c>
      <c r="AZ13" s="122">
        <v>330</v>
      </c>
      <c r="BA13" s="124">
        <v>420</v>
      </c>
      <c r="BB13" s="131">
        <v>310</v>
      </c>
      <c r="BC13" s="131">
        <v>430</v>
      </c>
      <c r="BD13" s="123">
        <v>550</v>
      </c>
      <c r="BE13" s="140">
        <v>498</v>
      </c>
    </row>
    <row r="14" spans="1:57" s="44" customFormat="1">
      <c r="A14" s="67" t="s">
        <v>88</v>
      </c>
      <c r="B14" s="68" t="s">
        <v>87</v>
      </c>
      <c r="C14" s="69">
        <v>10</v>
      </c>
      <c r="D14" s="70">
        <v>10</v>
      </c>
      <c r="E14" s="71">
        <v>10</v>
      </c>
      <c r="F14" s="72">
        <v>10</v>
      </c>
      <c r="G14" s="73">
        <v>20</v>
      </c>
      <c r="H14" s="74">
        <v>20</v>
      </c>
      <c r="I14" s="75">
        <v>20</v>
      </c>
      <c r="J14" s="69">
        <v>25</v>
      </c>
      <c r="K14" s="70">
        <v>25</v>
      </c>
      <c r="L14" s="72">
        <v>25</v>
      </c>
      <c r="M14" s="76">
        <v>30</v>
      </c>
      <c r="N14" s="74">
        <v>30</v>
      </c>
      <c r="O14" s="77">
        <v>30</v>
      </c>
      <c r="P14" s="78">
        <v>88</v>
      </c>
      <c r="Q14" s="69">
        <v>40</v>
      </c>
      <c r="R14" s="79">
        <v>40</v>
      </c>
      <c r="S14" s="72">
        <v>40</v>
      </c>
      <c r="T14" s="94">
        <v>50</v>
      </c>
      <c r="U14" s="95">
        <v>56</v>
      </c>
      <c r="V14" s="76">
        <v>50</v>
      </c>
      <c r="W14" s="74">
        <v>50</v>
      </c>
      <c r="X14" s="74">
        <v>50</v>
      </c>
      <c r="Y14" s="77">
        <v>50</v>
      </c>
      <c r="Z14" s="82">
        <v>162</v>
      </c>
      <c r="AA14" s="94">
        <v>50</v>
      </c>
      <c r="AB14" s="141">
        <v>50</v>
      </c>
      <c r="AC14" s="95">
        <v>50</v>
      </c>
      <c r="AD14" s="69">
        <v>60</v>
      </c>
      <c r="AE14" s="70">
        <v>60</v>
      </c>
      <c r="AF14" s="71">
        <v>60</v>
      </c>
      <c r="AG14" s="72">
        <v>60</v>
      </c>
      <c r="AH14" s="142">
        <v>60</v>
      </c>
      <c r="AI14" s="143">
        <v>60</v>
      </c>
      <c r="AJ14" s="144">
        <v>60</v>
      </c>
      <c r="AK14" s="96">
        <v>60</v>
      </c>
      <c r="AL14" s="69">
        <v>60</v>
      </c>
      <c r="AM14" s="71">
        <v>60</v>
      </c>
      <c r="AN14" s="72">
        <v>60</v>
      </c>
      <c r="AO14" s="78">
        <v>186</v>
      </c>
      <c r="AP14" s="69">
        <v>80</v>
      </c>
      <c r="AQ14" s="70">
        <v>80</v>
      </c>
      <c r="AR14" s="72">
        <v>80</v>
      </c>
      <c r="AS14" s="69">
        <v>80</v>
      </c>
      <c r="AT14" s="70">
        <v>80</v>
      </c>
      <c r="AU14" s="72">
        <v>80</v>
      </c>
      <c r="AV14" s="76">
        <v>80</v>
      </c>
      <c r="AW14" s="74">
        <v>80</v>
      </c>
      <c r="AX14" s="77">
        <v>80</v>
      </c>
      <c r="AY14" s="145" t="s">
        <v>89</v>
      </c>
      <c r="AZ14" s="146" t="s">
        <v>16</v>
      </c>
      <c r="BA14" s="147" t="s">
        <v>16</v>
      </c>
      <c r="BB14" s="142" t="s">
        <v>15</v>
      </c>
      <c r="BC14" s="142" t="s">
        <v>15</v>
      </c>
      <c r="BD14" s="144" t="s">
        <v>15</v>
      </c>
      <c r="BE14" s="148" t="s">
        <v>14</v>
      </c>
    </row>
    <row r="15" spans="1:57" s="44" customFormat="1">
      <c r="A15" s="45" t="s">
        <v>90</v>
      </c>
      <c r="B15" s="46" t="s">
        <v>91</v>
      </c>
      <c r="C15" s="47">
        <v>8.9999999999999993E-3</v>
      </c>
      <c r="D15" s="48">
        <v>1.0999999999999999E-2</v>
      </c>
      <c r="E15" s="49">
        <v>1.4E-2</v>
      </c>
      <c r="F15" s="50">
        <v>3.5000000000000003E-2</v>
      </c>
      <c r="G15" s="51">
        <v>0.05</v>
      </c>
      <c r="H15" s="52">
        <v>0.06</v>
      </c>
      <c r="I15" s="53">
        <v>0.08</v>
      </c>
      <c r="J15" s="47">
        <v>0.09</v>
      </c>
      <c r="K15" s="48">
        <v>0.12</v>
      </c>
      <c r="L15" s="50">
        <v>0.16</v>
      </c>
      <c r="M15" s="54">
        <v>0.15</v>
      </c>
      <c r="N15" s="52">
        <v>0.2</v>
      </c>
      <c r="O15" s="55">
        <v>0.3</v>
      </c>
      <c r="P15" s="56">
        <v>0.5</v>
      </c>
      <c r="Q15" s="47">
        <v>0.3</v>
      </c>
      <c r="R15" s="57">
        <v>0.5</v>
      </c>
      <c r="S15" s="50">
        <v>0.7</v>
      </c>
      <c r="T15" s="149">
        <v>0.32000000000000006</v>
      </c>
      <c r="U15" s="150">
        <v>0.43</v>
      </c>
      <c r="V15" s="54">
        <v>0.8</v>
      </c>
      <c r="W15" s="52">
        <v>1.1000000000000001</v>
      </c>
      <c r="X15" s="52">
        <v>1.5</v>
      </c>
      <c r="Y15" s="55">
        <v>2.9</v>
      </c>
      <c r="Z15" s="60">
        <v>2.7</v>
      </c>
      <c r="AA15" s="149">
        <v>0.76561226243810554</v>
      </c>
      <c r="AB15" s="61">
        <v>1.1484183936571584</v>
      </c>
      <c r="AC15" s="59">
        <v>1.5312245248762111</v>
      </c>
      <c r="AD15" s="47">
        <v>1.2</v>
      </c>
      <c r="AE15" s="48">
        <v>1.7</v>
      </c>
      <c r="AF15" s="49">
        <v>2.2000000000000002</v>
      </c>
      <c r="AG15" s="50">
        <v>4.2</v>
      </c>
      <c r="AH15" s="62">
        <v>1.2856076175653635</v>
      </c>
      <c r="AI15" s="63">
        <v>1.9284114263480454</v>
      </c>
      <c r="AJ15" s="64">
        <v>2.5712152351307269</v>
      </c>
      <c r="AK15" s="151">
        <v>0.34</v>
      </c>
      <c r="AL15" s="47">
        <v>1.3</v>
      </c>
      <c r="AM15" s="49">
        <v>1.9</v>
      </c>
      <c r="AN15" s="50">
        <v>2.4</v>
      </c>
      <c r="AO15" s="56">
        <v>4.4000000000000004</v>
      </c>
      <c r="AP15" s="47">
        <v>3</v>
      </c>
      <c r="AQ15" s="48">
        <v>4.2</v>
      </c>
      <c r="AR15" s="50">
        <v>5.4</v>
      </c>
      <c r="AS15" s="47">
        <v>3</v>
      </c>
      <c r="AT15" s="48">
        <v>4.4000000000000004</v>
      </c>
      <c r="AU15" s="50">
        <v>5.7</v>
      </c>
      <c r="AV15" s="54">
        <v>3</v>
      </c>
      <c r="AW15" s="52">
        <v>4.2</v>
      </c>
      <c r="AX15" s="55">
        <v>5.4</v>
      </c>
      <c r="AY15" s="47">
        <v>10</v>
      </c>
      <c r="AZ15" s="48">
        <v>13</v>
      </c>
      <c r="BA15" s="50">
        <v>15</v>
      </c>
      <c r="BB15" s="57">
        <v>16</v>
      </c>
      <c r="BC15" s="57">
        <v>21</v>
      </c>
      <c r="BD15" s="49">
        <v>27</v>
      </c>
      <c r="BE15" s="66">
        <v>42</v>
      </c>
    </row>
    <row r="16" spans="1:57" s="44" customFormat="1">
      <c r="A16" s="67" t="s">
        <v>92</v>
      </c>
      <c r="B16" s="68" t="s">
        <v>87</v>
      </c>
      <c r="C16" s="69">
        <v>0.5</v>
      </c>
      <c r="D16" s="70">
        <v>0.5</v>
      </c>
      <c r="E16" s="71">
        <v>0.5</v>
      </c>
      <c r="F16" s="72">
        <v>0.5</v>
      </c>
      <c r="G16" s="73">
        <v>0.5</v>
      </c>
      <c r="H16" s="74">
        <v>0.5</v>
      </c>
      <c r="I16" s="75">
        <v>0.5</v>
      </c>
      <c r="J16" s="69">
        <v>0.5</v>
      </c>
      <c r="K16" s="70">
        <v>0.5</v>
      </c>
      <c r="L16" s="72">
        <v>0.5</v>
      </c>
      <c r="M16" s="76">
        <v>0.5</v>
      </c>
      <c r="N16" s="74">
        <v>0.5</v>
      </c>
      <c r="O16" s="77">
        <v>0.5</v>
      </c>
      <c r="P16" s="78">
        <v>2</v>
      </c>
      <c r="Q16" s="69">
        <v>0.75</v>
      </c>
      <c r="R16" s="79">
        <v>0.75</v>
      </c>
      <c r="S16" s="72">
        <v>0.75</v>
      </c>
      <c r="T16" s="94">
        <v>0.75</v>
      </c>
      <c r="U16" s="95">
        <v>2</v>
      </c>
      <c r="V16" s="76">
        <v>0.75</v>
      </c>
      <c r="W16" s="74">
        <v>0.75</v>
      </c>
      <c r="X16" s="74">
        <v>0.75</v>
      </c>
      <c r="Y16" s="77">
        <v>0.75</v>
      </c>
      <c r="Z16" s="82">
        <v>2.5</v>
      </c>
      <c r="AA16" s="94">
        <v>2</v>
      </c>
      <c r="AB16" s="141">
        <v>2</v>
      </c>
      <c r="AC16" s="95">
        <v>2</v>
      </c>
      <c r="AD16" s="69">
        <v>1</v>
      </c>
      <c r="AE16" s="70">
        <v>1</v>
      </c>
      <c r="AF16" s="71">
        <v>1</v>
      </c>
      <c r="AG16" s="72">
        <v>1</v>
      </c>
      <c r="AH16" s="142">
        <v>2.5</v>
      </c>
      <c r="AI16" s="143">
        <v>2.5</v>
      </c>
      <c r="AJ16" s="144">
        <v>2.5</v>
      </c>
      <c r="AK16" s="96">
        <v>3</v>
      </c>
      <c r="AL16" s="69">
        <v>1</v>
      </c>
      <c r="AM16" s="71">
        <v>1</v>
      </c>
      <c r="AN16" s="72">
        <v>1</v>
      </c>
      <c r="AO16" s="78">
        <v>2.5</v>
      </c>
      <c r="AP16" s="69">
        <v>1.65</v>
      </c>
      <c r="AQ16" s="70">
        <v>1.65</v>
      </c>
      <c r="AR16" s="72">
        <v>1.65</v>
      </c>
      <c r="AS16" s="69">
        <v>5</v>
      </c>
      <c r="AT16" s="70">
        <v>5</v>
      </c>
      <c r="AU16" s="72">
        <v>5</v>
      </c>
      <c r="AV16" s="76">
        <v>1.25</v>
      </c>
      <c r="AW16" s="74">
        <v>1.25</v>
      </c>
      <c r="AX16" s="77">
        <v>1.25</v>
      </c>
      <c r="AY16" s="69">
        <v>1.75</v>
      </c>
      <c r="AZ16" s="70">
        <v>1.75</v>
      </c>
      <c r="BA16" s="72">
        <v>1.75</v>
      </c>
      <c r="BB16" s="73">
        <v>1.75</v>
      </c>
      <c r="BC16" s="73">
        <v>1.75</v>
      </c>
      <c r="BD16" s="75">
        <v>1.75</v>
      </c>
      <c r="BE16" s="88">
        <v>1.75</v>
      </c>
    </row>
    <row r="17" spans="1:70" s="44" customFormat="1">
      <c r="A17" s="45" t="s">
        <v>93</v>
      </c>
      <c r="B17" s="46" t="s">
        <v>87</v>
      </c>
      <c r="C17" s="47">
        <v>4</v>
      </c>
      <c r="D17" s="48">
        <v>4</v>
      </c>
      <c r="E17" s="49">
        <v>4</v>
      </c>
      <c r="F17" s="50">
        <v>4</v>
      </c>
      <c r="G17" s="51">
        <v>8</v>
      </c>
      <c r="H17" s="52">
        <v>8</v>
      </c>
      <c r="I17" s="53">
        <v>8</v>
      </c>
      <c r="J17" s="47">
        <v>12</v>
      </c>
      <c r="K17" s="48">
        <v>12</v>
      </c>
      <c r="L17" s="50">
        <v>12</v>
      </c>
      <c r="M17" s="54">
        <v>16</v>
      </c>
      <c r="N17" s="52">
        <v>16</v>
      </c>
      <c r="O17" s="55">
        <v>16</v>
      </c>
      <c r="P17" s="56">
        <v>16</v>
      </c>
      <c r="Q17" s="47">
        <v>20</v>
      </c>
      <c r="R17" s="57">
        <v>20</v>
      </c>
      <c r="S17" s="50">
        <v>20</v>
      </c>
      <c r="T17" s="58">
        <v>25</v>
      </c>
      <c r="U17" s="59">
        <v>25</v>
      </c>
      <c r="V17" s="54">
        <v>25</v>
      </c>
      <c r="W17" s="52">
        <v>25</v>
      </c>
      <c r="X17" s="52">
        <v>25</v>
      </c>
      <c r="Y17" s="55">
        <v>25</v>
      </c>
      <c r="Z17" s="60">
        <v>25</v>
      </c>
      <c r="AA17" s="58">
        <v>25</v>
      </c>
      <c r="AB17" s="61">
        <v>25</v>
      </c>
      <c r="AC17" s="59">
        <v>25</v>
      </c>
      <c r="AD17" s="47">
        <v>32</v>
      </c>
      <c r="AE17" s="48">
        <v>32</v>
      </c>
      <c r="AF17" s="49">
        <v>32</v>
      </c>
      <c r="AG17" s="50">
        <v>32</v>
      </c>
      <c r="AH17" s="62">
        <v>32</v>
      </c>
      <c r="AI17" s="63">
        <v>32</v>
      </c>
      <c r="AJ17" s="64">
        <v>32</v>
      </c>
      <c r="AK17" s="65">
        <v>35</v>
      </c>
      <c r="AL17" s="47">
        <v>35</v>
      </c>
      <c r="AM17" s="49">
        <v>35</v>
      </c>
      <c r="AN17" s="50">
        <v>35</v>
      </c>
      <c r="AO17" s="56">
        <v>35</v>
      </c>
      <c r="AP17" s="47">
        <v>42.7</v>
      </c>
      <c r="AQ17" s="48">
        <v>42.7</v>
      </c>
      <c r="AR17" s="50">
        <v>42.7</v>
      </c>
      <c r="AS17" s="47">
        <v>42.7</v>
      </c>
      <c r="AT17" s="48">
        <v>42.7</v>
      </c>
      <c r="AU17" s="50">
        <v>42.7</v>
      </c>
      <c r="AV17" s="54">
        <v>43.5</v>
      </c>
      <c r="AW17" s="52">
        <v>43.5</v>
      </c>
      <c r="AX17" s="55">
        <v>43.5</v>
      </c>
      <c r="AY17" s="47">
        <v>50</v>
      </c>
      <c r="AZ17" s="48">
        <v>50</v>
      </c>
      <c r="BA17" s="50">
        <v>50</v>
      </c>
      <c r="BB17" s="57">
        <v>60.5</v>
      </c>
      <c r="BC17" s="57">
        <v>60.5</v>
      </c>
      <c r="BD17" s="49">
        <v>60.5</v>
      </c>
      <c r="BE17" s="66">
        <v>101.6</v>
      </c>
    </row>
    <row r="18" spans="1:70" s="44" customFormat="1">
      <c r="A18" s="67" t="s">
        <v>94</v>
      </c>
      <c r="B18" s="68" t="s">
        <v>87</v>
      </c>
      <c r="C18" s="69">
        <v>18</v>
      </c>
      <c r="D18" s="70">
        <v>18</v>
      </c>
      <c r="E18" s="71">
        <v>18</v>
      </c>
      <c r="F18" s="72">
        <v>18</v>
      </c>
      <c r="G18" s="73">
        <v>30</v>
      </c>
      <c r="H18" s="74">
        <v>30</v>
      </c>
      <c r="I18" s="75">
        <v>30</v>
      </c>
      <c r="J18" s="69">
        <v>48</v>
      </c>
      <c r="K18" s="70">
        <v>48</v>
      </c>
      <c r="L18" s="72">
        <v>48</v>
      </c>
      <c r="M18" s="76">
        <v>60</v>
      </c>
      <c r="N18" s="74">
        <v>60</v>
      </c>
      <c r="O18" s="77">
        <v>60</v>
      </c>
      <c r="P18" s="78">
        <v>60</v>
      </c>
      <c r="Q18" s="69">
        <v>72</v>
      </c>
      <c r="R18" s="79">
        <v>72</v>
      </c>
      <c r="S18" s="72">
        <v>72</v>
      </c>
      <c r="T18" s="94">
        <v>60</v>
      </c>
      <c r="U18" s="95">
        <v>60</v>
      </c>
      <c r="V18" s="76">
        <v>90</v>
      </c>
      <c r="W18" s="74">
        <v>90</v>
      </c>
      <c r="X18" s="74">
        <v>90</v>
      </c>
      <c r="Y18" s="77">
        <v>90</v>
      </c>
      <c r="Z18" s="82">
        <v>90</v>
      </c>
      <c r="AA18" s="94">
        <v>90</v>
      </c>
      <c r="AB18" s="141">
        <v>90</v>
      </c>
      <c r="AC18" s="95">
        <v>90</v>
      </c>
      <c r="AD18" s="69">
        <v>120</v>
      </c>
      <c r="AE18" s="70">
        <v>120</v>
      </c>
      <c r="AF18" s="71">
        <v>120</v>
      </c>
      <c r="AG18" s="72">
        <v>120</v>
      </c>
      <c r="AH18" s="142">
        <v>120</v>
      </c>
      <c r="AI18" s="143">
        <v>120</v>
      </c>
      <c r="AJ18" s="144">
        <v>120</v>
      </c>
      <c r="AK18" s="96">
        <v>60</v>
      </c>
      <c r="AL18" s="69">
        <v>120</v>
      </c>
      <c r="AM18" s="71">
        <v>120</v>
      </c>
      <c r="AN18" s="72">
        <v>120</v>
      </c>
      <c r="AO18" s="78">
        <v>120</v>
      </c>
      <c r="AP18" s="69">
        <v>180</v>
      </c>
      <c r="AQ18" s="70">
        <v>180</v>
      </c>
      <c r="AR18" s="72">
        <v>180</v>
      </c>
      <c r="AS18" s="69">
        <v>180</v>
      </c>
      <c r="AT18" s="70">
        <v>180</v>
      </c>
      <c r="AU18" s="72">
        <v>180</v>
      </c>
      <c r="AV18" s="76">
        <v>180</v>
      </c>
      <c r="AW18" s="74">
        <v>180</v>
      </c>
      <c r="AX18" s="77">
        <v>180</v>
      </c>
      <c r="AY18" s="69">
        <v>180</v>
      </c>
      <c r="AZ18" s="70">
        <v>180</v>
      </c>
      <c r="BA18" s="72">
        <v>180</v>
      </c>
      <c r="BB18" s="73">
        <v>240</v>
      </c>
      <c r="BC18" s="73">
        <v>240</v>
      </c>
      <c r="BD18" s="75">
        <v>240</v>
      </c>
      <c r="BE18" s="88">
        <v>270</v>
      </c>
    </row>
    <row r="19" spans="1:70" s="44" customFormat="1">
      <c r="A19" s="152" t="s">
        <v>95</v>
      </c>
      <c r="B19" s="153" t="s">
        <v>87</v>
      </c>
      <c r="C19" s="154">
        <v>40</v>
      </c>
      <c r="D19" s="155">
        <v>40</v>
      </c>
      <c r="E19" s="156">
        <v>40</v>
      </c>
      <c r="F19" s="157">
        <v>40</v>
      </c>
      <c r="G19" s="158">
        <v>230</v>
      </c>
      <c r="H19" s="159">
        <v>215</v>
      </c>
      <c r="I19" s="160">
        <v>200</v>
      </c>
      <c r="J19" s="154">
        <v>1540</v>
      </c>
      <c r="K19" s="155">
        <v>1510</v>
      </c>
      <c r="L19" s="157">
        <v>1490</v>
      </c>
      <c r="M19" s="161">
        <v>1755</v>
      </c>
      <c r="N19" s="159">
        <v>1745</v>
      </c>
      <c r="O19" s="162">
        <v>1715</v>
      </c>
      <c r="P19" s="163">
        <v>2000</v>
      </c>
      <c r="Q19" s="154">
        <v>2470</v>
      </c>
      <c r="R19" s="164">
        <v>2435</v>
      </c>
      <c r="S19" s="157">
        <v>2390</v>
      </c>
      <c r="T19" s="165">
        <v>3750</v>
      </c>
      <c r="U19" s="166">
        <v>3750</v>
      </c>
      <c r="V19" s="167">
        <v>2615</v>
      </c>
      <c r="W19" s="168">
        <v>2570</v>
      </c>
      <c r="X19" s="168">
        <v>2525</v>
      </c>
      <c r="Y19" s="169">
        <v>1710</v>
      </c>
      <c r="Z19" s="170">
        <v>2000</v>
      </c>
      <c r="AA19" s="171">
        <v>3680</v>
      </c>
      <c r="AB19" s="172">
        <v>3590</v>
      </c>
      <c r="AC19" s="166">
        <v>3500</v>
      </c>
      <c r="AD19" s="154">
        <v>2310</v>
      </c>
      <c r="AE19" s="155">
        <v>2250</v>
      </c>
      <c r="AF19" s="156">
        <v>2190</v>
      </c>
      <c r="AG19" s="157">
        <v>1950</v>
      </c>
      <c r="AH19" s="173">
        <v>3640</v>
      </c>
      <c r="AI19" s="174">
        <v>3580</v>
      </c>
      <c r="AJ19" s="175">
        <v>3520</v>
      </c>
      <c r="AK19" s="176">
        <v>2230</v>
      </c>
      <c r="AL19" s="154">
        <v>2120</v>
      </c>
      <c r="AM19" s="156">
        <v>2060</v>
      </c>
      <c r="AN19" s="157">
        <v>2000</v>
      </c>
      <c r="AO19" s="163">
        <v>2000</v>
      </c>
      <c r="AP19" s="154">
        <v>3180</v>
      </c>
      <c r="AQ19" s="155">
        <v>3090</v>
      </c>
      <c r="AR19" s="157">
        <v>3000</v>
      </c>
      <c r="AS19" s="154">
        <v>4600</v>
      </c>
      <c r="AT19" s="155">
        <v>4600</v>
      </c>
      <c r="AU19" s="157">
        <v>4600</v>
      </c>
      <c r="AV19" s="161">
        <v>2180</v>
      </c>
      <c r="AW19" s="159">
        <v>2090</v>
      </c>
      <c r="AX19" s="162">
        <v>2000</v>
      </c>
      <c r="AY19" s="154">
        <v>3380</v>
      </c>
      <c r="AZ19" s="155">
        <v>3290</v>
      </c>
      <c r="BA19" s="157">
        <v>3200</v>
      </c>
      <c r="BB19" s="164">
        <v>3000</v>
      </c>
      <c r="BC19" s="164">
        <v>3000</v>
      </c>
      <c r="BD19" s="156">
        <v>3000</v>
      </c>
      <c r="BE19" s="177">
        <v>3000</v>
      </c>
    </row>
    <row r="20" spans="1:70" s="44" customFormat="1">
      <c r="A20" s="67" t="s">
        <v>261</v>
      </c>
      <c r="B20" s="68"/>
      <c r="C20" s="69">
        <v>0.43</v>
      </c>
      <c r="D20" s="70">
        <v>0.55000000000000004</v>
      </c>
      <c r="E20" s="71">
        <v>0.62</v>
      </c>
      <c r="F20" s="72">
        <v>0.73</v>
      </c>
      <c r="G20" s="73">
        <v>1</v>
      </c>
      <c r="H20" s="74">
        <v>1.1599999999999999</v>
      </c>
      <c r="I20" s="75">
        <v>1.31</v>
      </c>
      <c r="J20" s="69">
        <v>1.34</v>
      </c>
      <c r="K20" s="70">
        <v>1.7</v>
      </c>
      <c r="L20" s="72">
        <v>2.04</v>
      </c>
      <c r="M20" s="76">
        <v>1.31</v>
      </c>
      <c r="N20" s="74">
        <v>1.57</v>
      </c>
      <c r="O20" s="77">
        <v>1.8</v>
      </c>
      <c r="P20" s="78">
        <v>25</v>
      </c>
      <c r="Q20" s="69">
        <v>1.86</v>
      </c>
      <c r="R20" s="79">
        <v>1.93</v>
      </c>
      <c r="S20" s="72">
        <v>2.21</v>
      </c>
      <c r="T20" s="94">
        <v>1.86</v>
      </c>
      <c r="U20" s="95">
        <v>1.86</v>
      </c>
      <c r="V20" s="76">
        <v>2.11</v>
      </c>
      <c r="W20" s="74">
        <v>2.4700000000000002</v>
      </c>
      <c r="X20" s="74">
        <v>2.81</v>
      </c>
      <c r="Y20" s="77">
        <v>3.73</v>
      </c>
      <c r="Z20" s="82">
        <v>30</v>
      </c>
      <c r="AA20" s="94">
        <v>2.11</v>
      </c>
      <c r="AB20" s="141">
        <v>2.4700000000000002</v>
      </c>
      <c r="AC20" s="95">
        <v>2.81</v>
      </c>
      <c r="AD20" s="69">
        <v>3.14</v>
      </c>
      <c r="AE20" s="70">
        <v>3.49</v>
      </c>
      <c r="AF20" s="71">
        <v>3.88</v>
      </c>
      <c r="AG20" s="72">
        <v>4.24</v>
      </c>
      <c r="AH20" s="142">
        <v>3.14</v>
      </c>
      <c r="AI20" s="143">
        <v>3.49</v>
      </c>
      <c r="AJ20" s="144">
        <v>3.88</v>
      </c>
      <c r="AK20" s="96">
        <v>2</v>
      </c>
      <c r="AL20" s="69">
        <v>4.17</v>
      </c>
      <c r="AM20" s="71">
        <v>4.9000000000000004</v>
      </c>
      <c r="AN20" s="72">
        <v>5.56</v>
      </c>
      <c r="AO20" s="78">
        <v>35</v>
      </c>
      <c r="AP20" s="69">
        <v>5.0599999999999996</v>
      </c>
      <c r="AQ20" s="70">
        <v>5.78</v>
      </c>
      <c r="AR20" s="72">
        <v>6.58</v>
      </c>
      <c r="AS20" s="69">
        <v>5.0599999999999996</v>
      </c>
      <c r="AT20" s="70">
        <v>5.78</v>
      </c>
      <c r="AU20" s="72">
        <v>6.58</v>
      </c>
      <c r="AV20" s="76">
        <v>6.56</v>
      </c>
      <c r="AW20" s="74">
        <v>7.51</v>
      </c>
      <c r="AX20" s="77">
        <v>8.5399999999999991</v>
      </c>
      <c r="AY20" s="69">
        <v>8.85</v>
      </c>
      <c r="AZ20" s="70">
        <v>11.02</v>
      </c>
      <c r="BA20" s="72">
        <v>13.18</v>
      </c>
      <c r="BB20" s="73">
        <v>12.44</v>
      </c>
      <c r="BC20" s="73">
        <v>14.74</v>
      </c>
      <c r="BD20" s="75">
        <v>16.920000000000002</v>
      </c>
      <c r="BE20" s="88">
        <f>BC20*4</f>
        <v>58.96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</row>
    <row r="21" spans="1:70" s="44" customFormat="1" ht="12.75" thickBot="1">
      <c r="A21" s="11" t="s">
        <v>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78"/>
      <c r="Q21" s="12"/>
      <c r="R21" s="12"/>
      <c r="S21" s="12"/>
      <c r="T21" s="179"/>
      <c r="U21" s="179"/>
      <c r="V21" s="12"/>
      <c r="W21" s="12"/>
      <c r="X21" s="12"/>
      <c r="Y21" s="12"/>
      <c r="Z21" s="178"/>
      <c r="AA21" s="179"/>
      <c r="AB21" s="179"/>
      <c r="AC21" s="179"/>
      <c r="AD21" s="12"/>
      <c r="AE21" s="12"/>
      <c r="AF21" s="12"/>
      <c r="AG21" s="12"/>
      <c r="AH21" s="179"/>
      <c r="AI21" s="179"/>
      <c r="AJ21" s="179"/>
      <c r="AK21" s="179"/>
      <c r="AL21" s="12"/>
      <c r="AM21" s="12"/>
      <c r="AN21" s="12"/>
      <c r="AO21" s="178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</row>
    <row r="22" spans="1:70">
      <c r="A22" s="11" t="s">
        <v>97</v>
      </c>
      <c r="G22" s="11"/>
      <c r="H22" s="11"/>
      <c r="I22" s="11"/>
      <c r="M22" s="11"/>
      <c r="N22" s="11"/>
      <c r="S22" s="11"/>
      <c r="T22" s="11"/>
      <c r="U22" s="11" t="s">
        <v>244</v>
      </c>
      <c r="V22" s="180" t="s">
        <v>113</v>
      </c>
      <c r="W22" s="181" t="str">
        <f>IFERROR(AB25&amp;"-"&amp;HLOOKUP(AB25,C36:BE37,2,FALSE)&amp;"st","")</f>
        <v>S350D-100st</v>
      </c>
      <c r="X22" s="181" t="str">
        <f>IFERROR(AC25&amp;"-"&amp;HLOOKUP(AC25,C36:BE37,2,FALSE)&amp;"st","")</f>
        <v>S427D-100st</v>
      </c>
      <c r="Y22" s="182" t="str">
        <f>IFERROR(AD25&amp;"-"&amp;HLOOKUP(AD25,C36:BE37,2,FALSE)&amp;"st","")</f>
        <v>S427D-100st</v>
      </c>
      <c r="AC22" s="11"/>
    </row>
    <row r="23" spans="1:70" ht="12.75" thickBot="1">
      <c r="A23" s="14"/>
      <c r="U23" s="12" t="s">
        <v>245</v>
      </c>
      <c r="V23" s="183" t="s">
        <v>164</v>
      </c>
      <c r="W23" s="184">
        <f>IFERROR(ROUND(HLOOKUP(AB25,C36:BE48,3,FALSE),IF(HLOOKUP(AB25,C36:BE48,3,FALSE)&lt;1,2,IF(HLOOKUP(AB25,C36:BE48,3,FALSE)&lt;10,1,0))),"I was not able to find")</f>
        <v>1.3</v>
      </c>
      <c r="X23" s="184">
        <f>IFERROR(ROUND(HLOOKUP(AC25,D36:BF48,3,FALSE),IF(HLOOKUP(AC25,D36:BF48,3,FALSE)&lt;1,2,IF(HLOOKUP(AC25,D36:BF48,3,FALSE)&lt;10,1,0))),"")</f>
        <v>3</v>
      </c>
      <c r="Y23" s="185">
        <f>IFERROR(ROUND(HLOOKUP(AD25,E36:BG48,3,FALSE),IF(HLOOKUP(AD25,E36:BG48,3,FALSE)&lt;1,2,IF(HLOOKUP(AD25,E36:BG48,3,FALSE)&lt;10,1,0))),"")</f>
        <v>3</v>
      </c>
    </row>
    <row r="24" spans="1:70">
      <c r="V24" s="183" t="s">
        <v>124</v>
      </c>
      <c r="W24" s="184">
        <f>IFERROR(ROUND(HLOOKUP(AB25,$C$36:$BE$48,13,FALSE)+$G$26,0),"a suitable motor")</f>
        <v>43</v>
      </c>
      <c r="X24" s="184">
        <f>IFERROR(ROUND(HLOOKUP(AC25,$C$36:$BE$48,13,FALSE)+$G$26,0),"")</f>
        <v>71</v>
      </c>
      <c r="Y24" s="185">
        <f>IFERROR(ROUND(HLOOKUP(AD25,$C$36:$BE$48,13,FALSE)+$G$26,0),"")</f>
        <v>71</v>
      </c>
      <c r="AA24" s="11" t="s">
        <v>245</v>
      </c>
      <c r="AB24" s="186" t="s">
        <v>260</v>
      </c>
      <c r="AC24" s="187" t="s">
        <v>263</v>
      </c>
      <c r="AD24" s="188" t="s">
        <v>259</v>
      </c>
    </row>
    <row r="25" spans="1:70" ht="12.75" thickBot="1">
      <c r="A25" s="189" t="s">
        <v>221</v>
      </c>
      <c r="C25" s="14" t="s">
        <v>223</v>
      </c>
      <c r="D25" s="14"/>
      <c r="F25" s="11" t="s">
        <v>275</v>
      </c>
      <c r="I25" s="14" t="s">
        <v>221</v>
      </c>
      <c r="J25" s="14"/>
      <c r="K25" s="14"/>
      <c r="L25" s="14"/>
      <c r="M25" s="14"/>
      <c r="N25" s="12" t="s">
        <v>224</v>
      </c>
      <c r="V25" s="183" t="s">
        <v>120</v>
      </c>
      <c r="W25" s="184">
        <f>IFERROR(ROUND(HLOOKUP(AB25,$C$36:$BE$48,6,FALSE),IF(HLOOKUP(AB25,$C$36:$BE$48,6,FALSE)&lt;1,2,IF(HLOOKUP(AB25,$C$36:$BE$48,6,FALSE)&lt;10,1,0))),"which will meet all of")</f>
        <v>36</v>
      </c>
      <c r="X25" s="184">
        <f>IFERROR(ROUND(HLOOKUP(AC25,$C$36:$BE$48,6,FALSE),IF(HLOOKUP(AC25,$C$36:$BE$48,6,FALSE)&lt;1,2,IF(HLOOKUP(AC25,$C$36:$BE$48,6,FALSE)&lt;10,1,0))),"")</f>
        <v>54</v>
      </c>
      <c r="Y25" s="185">
        <f>IFERROR(ROUND(HLOOKUP(AD25,$C$36:$BE$48,6,FALSE),IF(HLOOKUP(AD25,$C$36:$BE$48,6,FALSE)&lt;1,2,IF(HLOOKUP(AD25,$C$36:$BE$48,6,FALSE)&lt;10,1,0))),"Also the full version")</f>
        <v>54</v>
      </c>
      <c r="AA25" s="11"/>
      <c r="AB25" s="190" t="str">
        <f>HLOOKUP(1,C33:BE36,4,FALSE)</f>
        <v>S350D</v>
      </c>
      <c r="AC25" s="11" t="str">
        <f>IF(AC26=AB25,AC27,AC26)</f>
        <v>S427D</v>
      </c>
      <c r="AD25" s="191" t="str">
        <f>IF(AD26=AB25,IF(AC25=AD27,AD28,AD27),IF(AC25=AD26,AD27,AD26))</f>
        <v>S427D</v>
      </c>
    </row>
    <row r="26" spans="1:70">
      <c r="C26" s="186" t="s">
        <v>168</v>
      </c>
      <c r="D26" s="192">
        <f>IF(Sizing!H12&gt;240,240,Sizing!H12)</f>
        <v>240</v>
      </c>
      <c r="F26" s="186" t="s">
        <v>225</v>
      </c>
      <c r="G26" s="193">
        <f>IF(Sizing!H18&lt;20,20,Sizing!H18)</f>
        <v>25</v>
      </c>
      <c r="I26" s="194" t="s">
        <v>148</v>
      </c>
      <c r="J26" s="195">
        <f>Sizing!H6</f>
        <v>0.04</v>
      </c>
      <c r="K26" s="196" t="s">
        <v>283</v>
      </c>
      <c r="L26" s="254">
        <v>4</v>
      </c>
      <c r="M26" s="14"/>
      <c r="N26" s="198" t="s">
        <v>98</v>
      </c>
      <c r="O26" s="199">
        <f>Sizing!U6</f>
        <v>12</v>
      </c>
      <c r="P26" s="187" t="s">
        <v>228</v>
      </c>
      <c r="Q26" s="199">
        <f>Sizing!BM12</f>
        <v>1.5993283597428036</v>
      </c>
      <c r="R26" s="187" t="s">
        <v>161</v>
      </c>
      <c r="S26" s="197">
        <f>S28-S27</f>
        <v>2.9999999999999805E-2</v>
      </c>
      <c r="V26" s="183" t="s">
        <v>122</v>
      </c>
      <c r="W26" s="184">
        <f>IFERROR(ROUND(HLOOKUP(AB25,$C$36:$BE$48,7,FALSE),IF(HLOOKUP(AB25,$C$36:$BE$48,7,FALSE)&lt;1,2,IF(HLOOKUP(AB25,$C$36:$BE$48,7,FALSE)&lt;10,1,0))),"your requirements.")</f>
        <v>577</v>
      </c>
      <c r="X26" s="184">
        <f>IFERROR(ROUND(HLOOKUP(AC25,$C$36:$BE$48,7,FALSE),IF(HLOOKUP(AC25,$C$36:$BE$48,7,FALSE)&lt;1,2,IF(HLOOKUP(AC25,$C$36:$BE$48,7,FALSE)&lt;10,1,0))),"")</f>
        <v>1304</v>
      </c>
      <c r="Y26" s="185">
        <f>IFERROR(ROUND(HLOOKUP(AD25,$C$36:$BE$48,7,FALSE),IF(HLOOKUP(AD25,$C$36:$BE$48,7,FALSE)&lt;1,2,IF(HLOOKUP(AD25,$C$36:$BE$48,7,FALSE)&lt;10,1,0))),"of smart may also")</f>
        <v>1304</v>
      </c>
      <c r="AA26" s="11"/>
      <c r="AB26" s="190"/>
      <c r="AC26" s="11" t="str">
        <f>HLOOKUP(SMALL(C34:BE34,1),C34:BE36,3,FALSE)</f>
        <v>S350D</v>
      </c>
      <c r="AD26" s="191" t="str">
        <f>HLOOKUP(SMALL(C35:BE35,1),C35:BE36,2,FALSE)</f>
        <v>S350D</v>
      </c>
    </row>
    <row r="27" spans="1:70" ht="12.75" thickBot="1">
      <c r="C27" s="200" t="s">
        <v>222</v>
      </c>
      <c r="D27" s="201">
        <f>Sizing!H15</f>
        <v>50</v>
      </c>
      <c r="F27" s="202" t="s">
        <v>162</v>
      </c>
      <c r="G27" s="203">
        <f>IF(Sizing!H21&gt;135,135,Sizing!H21)</f>
        <v>135</v>
      </c>
      <c r="I27" s="204" t="s">
        <v>235</v>
      </c>
      <c r="J27" s="14">
        <f>Sizing!H9</f>
        <v>0</v>
      </c>
      <c r="K27" s="205" t="s">
        <v>236</v>
      </c>
      <c r="L27" s="255">
        <v>0.1</v>
      </c>
      <c r="M27" s="14"/>
      <c r="N27" s="207">
        <v>10</v>
      </c>
      <c r="O27" s="11">
        <f>IF(O26&lt;20,20,ROUNDUP(O26,-1))</f>
        <v>20</v>
      </c>
      <c r="P27" s="205" t="s">
        <v>232</v>
      </c>
      <c r="R27" s="189" t="s">
        <v>241</v>
      </c>
      <c r="S27" s="203">
        <f>'Spec Sheet'!S28-Sizing!BG11</f>
        <v>2.12</v>
      </c>
      <c r="V27" s="183" t="s">
        <v>163</v>
      </c>
      <c r="W27" s="184">
        <f>IFERROR(ROUND(HLOOKUP(AB25,$C$36:$BE$48,11,FALSE),0),"")</f>
        <v>217</v>
      </c>
      <c r="X27" s="184">
        <f>IFERROR(ROUND(HLOOKUP(AC25,$C$36:$BE$48,11,FALSE),0),"")</f>
        <v>198</v>
      </c>
      <c r="Y27" s="185">
        <f>IFERROR(ROUND(HLOOKUP(AD25,$C$36:$BE$48,11,FALSE),0),"assist you in finding")</f>
        <v>198</v>
      </c>
      <c r="AA27" s="11"/>
      <c r="AB27" s="190"/>
      <c r="AC27" s="11" t="str">
        <f>HLOOKUP(SMALL(C34:BE34,2),C34:BE36,3,FALSE)</f>
        <v>S427D</v>
      </c>
      <c r="AD27" s="191" t="str">
        <f>HLOOKUP(SMALL(C35:BE35,2),C35:BE36,2,FALSE)</f>
        <v>S427D</v>
      </c>
    </row>
    <row r="28" spans="1:70" ht="12.75" thickBot="1">
      <c r="F28" s="202" t="s">
        <v>229</v>
      </c>
      <c r="G28" s="203">
        <f>IF(G27-G26&gt;110,110,G27-G26)</f>
        <v>110</v>
      </c>
      <c r="I28" s="208" t="s">
        <v>1</v>
      </c>
      <c r="J28" s="209">
        <f>RADIANS(J27)</f>
        <v>0</v>
      </c>
      <c r="K28" s="210" t="s">
        <v>237</v>
      </c>
      <c r="L28" s="256">
        <v>0</v>
      </c>
      <c r="M28" s="14"/>
      <c r="N28" s="207">
        <v>50</v>
      </c>
      <c r="O28" s="11">
        <f>IF(O29-50&gt;=O26,O29-50,O29)</f>
        <v>50</v>
      </c>
      <c r="P28" s="189" t="s">
        <v>141</v>
      </c>
      <c r="Q28" s="11">
        <f>Sizing!BH12</f>
        <v>2033.7408432771931</v>
      </c>
      <c r="R28" s="205" t="s">
        <v>242</v>
      </c>
      <c r="S28" s="203">
        <f>Sizing!BG12</f>
        <v>2.15</v>
      </c>
      <c r="V28" s="183" t="s">
        <v>121</v>
      </c>
      <c r="W28" s="184">
        <f>IFERROR(ROUND(HLOOKUP(AB25,$C$36:$BE$48,8,FALSE),IF(HLOOKUP(AB25,$C$36:$BE$48,8,FALSE)&lt;1,2,IF(HLOOKUP(AB25,$C$36:$BE$48,8,FALSE)&lt;10,1,0))),"Feel free to review")</f>
        <v>0.62</v>
      </c>
      <c r="X28" s="184">
        <f>IFERROR(ROUND(HLOOKUP(AC25,$C$36:$BE$48,8,FALSE),IF(HLOOKUP(AC25,$C$36:$BE$48,8,FALSE)&lt;1,2,IF(HLOOKUP(AC25,$C$36:$BE$48,8,FALSE)&lt;10,1,0))),"")</f>
        <v>1.9</v>
      </c>
      <c r="Y28" s="185">
        <f>IFERROR(ROUND(HLOOKUP(AD25,$C$36:$BE$48,8,FALSE),IF(HLOOKUP(AD25,$C$36:$BE$48,8,FALSE)&lt;1,2,IF(HLOOKUP(AD25,$C$36:$BE$48,8,FALSE)&lt;10,1,0))),"a solution.")</f>
        <v>1.9</v>
      </c>
      <c r="AA28" s="11"/>
      <c r="AB28" s="211"/>
      <c r="AC28" s="212"/>
      <c r="AD28" s="201" t="str">
        <f>HLOOKUP(SMALL(C35:BE35,3),C35:BE36,2,FALSE)</f>
        <v>S427D</v>
      </c>
    </row>
    <row r="29" spans="1:70" ht="12.75" thickBot="1">
      <c r="C29" s="11" t="s">
        <v>269</v>
      </c>
      <c r="F29" s="202" t="s">
        <v>230</v>
      </c>
      <c r="G29" s="203">
        <f>IF(80-G26&gt;110,110,80-G26)</f>
        <v>55</v>
      </c>
      <c r="I29" s="14"/>
      <c r="J29" s="14"/>
      <c r="K29" s="14"/>
      <c r="L29" s="14"/>
      <c r="M29" s="14"/>
      <c r="N29" s="207">
        <v>100</v>
      </c>
      <c r="O29" s="11">
        <f>ROUNDUP(O26,-2)</f>
        <v>100</v>
      </c>
      <c r="P29" s="189" t="s">
        <v>233</v>
      </c>
      <c r="R29" s="189" t="s">
        <v>258</v>
      </c>
      <c r="S29" s="206">
        <f>Sizing!BJ12</f>
        <v>7.4999999999999989E-3</v>
      </c>
      <c r="V29" s="183" t="s">
        <v>123</v>
      </c>
      <c r="W29" s="184">
        <f>IFERROR(ROUND(HLOOKUP(AB25,$C$36:$BE$48,9,FALSE),IF(HLOOKUP(AB25,$C$36:$BE$48,9,FALSE)&lt;1,2,IF(HLOOKUP(AB25,$C$36:$BE$48,9,FALSE)&lt;10,1,0))),"my calculated results")</f>
        <v>10</v>
      </c>
      <c r="X29" s="184">
        <f>IFERROR(ROUND(HLOOKUP(AC25,$C$36:$BE$48,9,FALSE),IF(HLOOKUP(AC25,$C$36:$BE$48,9,FALSE)&lt;1,2,IF(HLOOKUP(AC25,$C$36:$BE$48,9,FALSE)&lt;10,1,0))),"")</f>
        <v>47</v>
      </c>
      <c r="Y29" s="185">
        <f>IFERROR(ROUND(HLOOKUP(AD25,$C$36:$BE$48,9,FALSE),IF(HLOOKUP(AD25,$C$36:$BE$48,9,FALSE)&lt;1,2,IF(HLOOKUP(AD25,$C$36:$BE$48,9,FALSE)&lt;10,1,0))),"")</f>
        <v>47</v>
      </c>
    </row>
    <row r="30" spans="1:70" ht="12.75" thickBot="1">
      <c r="C30" s="186" t="s">
        <v>245</v>
      </c>
      <c r="D30" s="245">
        <f>Sizing!Y22</f>
        <v>1</v>
      </c>
      <c r="F30" s="200" t="s">
        <v>231</v>
      </c>
      <c r="G30" s="213">
        <f>G26-20</f>
        <v>5</v>
      </c>
      <c r="I30" s="14"/>
      <c r="J30" s="14"/>
      <c r="L30" s="14"/>
      <c r="M30" s="14"/>
      <c r="N30" s="211"/>
      <c r="O30" s="214"/>
      <c r="P30" s="210" t="s">
        <v>147</v>
      </c>
      <c r="Q30" s="212">
        <f>Sizing!BI12</f>
        <v>426.66666666666674</v>
      </c>
      <c r="R30" s="212"/>
      <c r="S30" s="213"/>
      <c r="V30" s="183" t="s">
        <v>119</v>
      </c>
      <c r="W30" s="215">
        <f>IFERROR(HLOOKUP(AB25,$C$36:$BE$48,10,FALSE),"in the Spec Sheet tab.")</f>
        <v>0.17</v>
      </c>
      <c r="X30" s="215">
        <f>IFERROR(HLOOKUP(AC25,$C$36:$BE$48,10,FALSE),"")</f>
        <v>0.42</v>
      </c>
      <c r="Y30" s="216">
        <f>IFERROR(HLOOKUP(AD25,$C$36:$BE$48,10,FALSE),"")</f>
        <v>0.42</v>
      </c>
    </row>
    <row r="31" spans="1:70" ht="12.75" thickBot="1">
      <c r="C31" s="200" t="s">
        <v>268</v>
      </c>
      <c r="D31" s="246">
        <f>Sizing!AF22</f>
        <v>1</v>
      </c>
      <c r="F31" s="189"/>
      <c r="I31" s="14"/>
      <c r="J31" s="14"/>
      <c r="L31" s="14"/>
      <c r="M31" s="14"/>
      <c r="N31" s="11"/>
      <c r="O31" s="12"/>
      <c r="P31" s="217"/>
      <c r="V31" s="218" t="s">
        <v>100</v>
      </c>
      <c r="W31" s="219">
        <f>IFERROR(ROUND(HLOOKUP(AB25,$C$36:$BE$48,13,FALSE),0),"")</f>
        <v>18</v>
      </c>
      <c r="X31" s="219">
        <f>IFERROR(ROUND(HLOOKUP(AC25,$C$36:$BE$48,13,FALSE),0),"")</f>
        <v>46</v>
      </c>
      <c r="Y31" s="220">
        <f>IFERROR(ROUND(HLOOKUP(AD25,$C$36:$BE$48,13,FALSE),0),"")</f>
        <v>46</v>
      </c>
    </row>
    <row r="32" spans="1:70" ht="13.5" thickBot="1">
      <c r="A32" s="221" t="s">
        <v>276</v>
      </c>
      <c r="F32" s="14"/>
      <c r="G32" s="14"/>
      <c r="H32" s="14"/>
      <c r="I32" s="14"/>
      <c r="J32" s="14"/>
      <c r="V32" s="14"/>
      <c r="W32" s="14"/>
      <c r="X32" s="14"/>
      <c r="Y32" s="14"/>
    </row>
    <row r="33" spans="1:59">
      <c r="A33" s="198" t="s">
        <v>125</v>
      </c>
      <c r="B33" s="222"/>
      <c r="C33" s="222">
        <f>PRODUCT(C58:C67)</f>
        <v>0</v>
      </c>
      <c r="D33" s="222">
        <f t="shared" ref="D33:BE33" si="0">PRODUCT(D58:D67)</f>
        <v>0</v>
      </c>
      <c r="E33" s="222">
        <f t="shared" si="0"/>
        <v>0</v>
      </c>
      <c r="F33" s="222">
        <f t="shared" si="0"/>
        <v>0</v>
      </c>
      <c r="G33" s="222">
        <f t="shared" si="0"/>
        <v>0</v>
      </c>
      <c r="H33" s="222">
        <f t="shared" si="0"/>
        <v>0</v>
      </c>
      <c r="I33" s="222">
        <f t="shared" si="0"/>
        <v>0</v>
      </c>
      <c r="J33" s="222">
        <f t="shared" si="0"/>
        <v>0</v>
      </c>
      <c r="K33" s="222">
        <f t="shared" si="0"/>
        <v>0</v>
      </c>
      <c r="L33" s="222">
        <f t="shared" si="0"/>
        <v>0</v>
      </c>
      <c r="M33" s="222">
        <f t="shared" si="0"/>
        <v>0</v>
      </c>
      <c r="N33" s="222">
        <f t="shared" si="0"/>
        <v>0</v>
      </c>
      <c r="O33" s="222">
        <f t="shared" si="0"/>
        <v>0</v>
      </c>
      <c r="P33" s="222">
        <f t="shared" si="0"/>
        <v>0</v>
      </c>
      <c r="Q33" s="222">
        <f t="shared" si="0"/>
        <v>0</v>
      </c>
      <c r="R33" s="222">
        <f t="shared" si="0"/>
        <v>0</v>
      </c>
      <c r="S33" s="222">
        <f t="shared" si="0"/>
        <v>0</v>
      </c>
      <c r="T33" s="222">
        <f t="shared" si="0"/>
        <v>0</v>
      </c>
      <c r="U33" s="222">
        <f t="shared" si="0"/>
        <v>0</v>
      </c>
      <c r="V33" s="222">
        <f t="shared" si="0"/>
        <v>0</v>
      </c>
      <c r="W33" s="222">
        <f t="shared" si="0"/>
        <v>0</v>
      </c>
      <c r="X33" s="222">
        <f t="shared" si="0"/>
        <v>0</v>
      </c>
      <c r="Y33" s="222">
        <f t="shared" si="0"/>
        <v>0</v>
      </c>
      <c r="Z33" s="222">
        <f t="shared" si="0"/>
        <v>0</v>
      </c>
      <c r="AA33" s="222">
        <f t="shared" si="0"/>
        <v>0</v>
      </c>
      <c r="AB33" s="222">
        <f t="shared" si="0"/>
        <v>0</v>
      </c>
      <c r="AC33" s="222">
        <f t="shared" si="0"/>
        <v>0</v>
      </c>
      <c r="AD33" s="222">
        <f t="shared" si="0"/>
        <v>0</v>
      </c>
      <c r="AE33" s="222">
        <f t="shared" si="0"/>
        <v>0</v>
      </c>
      <c r="AF33" s="222">
        <f t="shared" si="0"/>
        <v>0</v>
      </c>
      <c r="AG33" s="222">
        <f t="shared" si="0"/>
        <v>0</v>
      </c>
      <c r="AH33" s="222">
        <f t="shared" si="0"/>
        <v>0</v>
      </c>
      <c r="AI33" s="222">
        <f t="shared" si="0"/>
        <v>0</v>
      </c>
      <c r="AJ33" s="222">
        <f t="shared" si="0"/>
        <v>0</v>
      </c>
      <c r="AK33" s="222">
        <f t="shared" si="0"/>
        <v>0</v>
      </c>
      <c r="AL33" s="222">
        <f t="shared" si="0"/>
        <v>1</v>
      </c>
      <c r="AM33" s="222">
        <f t="shared" si="0"/>
        <v>0</v>
      </c>
      <c r="AN33" s="222">
        <f t="shared" si="0"/>
        <v>1</v>
      </c>
      <c r="AO33" s="222">
        <f t="shared" si="0"/>
        <v>0</v>
      </c>
      <c r="AP33" s="222">
        <f t="shared" si="0"/>
        <v>1</v>
      </c>
      <c r="AQ33" s="222">
        <f t="shared" si="0"/>
        <v>0</v>
      </c>
      <c r="AR33" s="222">
        <f t="shared" si="0"/>
        <v>0</v>
      </c>
      <c r="AS33" s="222">
        <f t="shared" si="0"/>
        <v>0</v>
      </c>
      <c r="AT33" s="222">
        <f t="shared" si="0"/>
        <v>0</v>
      </c>
      <c r="AU33" s="222">
        <f t="shared" si="0"/>
        <v>0</v>
      </c>
      <c r="AV33" s="222">
        <f t="shared" si="0"/>
        <v>1</v>
      </c>
      <c r="AW33" s="222">
        <f t="shared" si="0"/>
        <v>1</v>
      </c>
      <c r="AX33" s="222">
        <f t="shared" si="0"/>
        <v>0</v>
      </c>
      <c r="AY33" s="222">
        <f t="shared" si="0"/>
        <v>0</v>
      </c>
      <c r="AZ33" s="222">
        <f t="shared" si="0"/>
        <v>0</v>
      </c>
      <c r="BA33" s="222">
        <f t="shared" si="0"/>
        <v>0</v>
      </c>
      <c r="BB33" s="222">
        <f t="shared" si="0"/>
        <v>0</v>
      </c>
      <c r="BC33" s="222">
        <f t="shared" si="0"/>
        <v>0</v>
      </c>
      <c r="BD33" s="222">
        <f t="shared" si="0"/>
        <v>0</v>
      </c>
      <c r="BE33" s="193">
        <f t="shared" si="0"/>
        <v>0</v>
      </c>
      <c r="BG33" s="14" t="s">
        <v>278</v>
      </c>
    </row>
    <row r="34" spans="1:59">
      <c r="A34" s="207" t="s">
        <v>262</v>
      </c>
      <c r="B34" s="12"/>
      <c r="C34" s="12" t="str">
        <f>IF(C33=0,"",C20*C33)</f>
        <v/>
      </c>
      <c r="D34" s="12" t="str">
        <f>IF(D33=0,"",D20*D33)</f>
        <v/>
      </c>
      <c r="E34" s="12" t="str">
        <f t="shared" ref="E34:BD34" si="1">IF(E33=0,"",E20*E33)</f>
        <v/>
      </c>
      <c r="F34" s="12" t="str">
        <f t="shared" si="1"/>
        <v/>
      </c>
      <c r="G34" s="12" t="str">
        <f t="shared" si="1"/>
        <v/>
      </c>
      <c r="H34" s="12" t="str">
        <f t="shared" si="1"/>
        <v/>
      </c>
      <c r="I34" s="12" t="str">
        <f t="shared" si="1"/>
        <v/>
      </c>
      <c r="J34" s="12" t="str">
        <f t="shared" si="1"/>
        <v/>
      </c>
      <c r="K34" s="12" t="str">
        <f t="shared" si="1"/>
        <v/>
      </c>
      <c r="L34" s="12" t="str">
        <f t="shared" si="1"/>
        <v/>
      </c>
      <c r="M34" s="12" t="str">
        <f t="shared" si="1"/>
        <v/>
      </c>
      <c r="N34" s="12" t="str">
        <f t="shared" si="1"/>
        <v/>
      </c>
      <c r="O34" s="12" t="str">
        <f t="shared" si="1"/>
        <v/>
      </c>
      <c r="P34" s="12" t="str">
        <f t="shared" si="1"/>
        <v/>
      </c>
      <c r="Q34" s="12" t="str">
        <f t="shared" si="1"/>
        <v/>
      </c>
      <c r="R34" s="12" t="str">
        <f t="shared" si="1"/>
        <v/>
      </c>
      <c r="S34" s="12" t="str">
        <f t="shared" si="1"/>
        <v/>
      </c>
      <c r="T34" s="12" t="str">
        <f t="shared" si="1"/>
        <v/>
      </c>
      <c r="U34" s="12" t="str">
        <f t="shared" si="1"/>
        <v/>
      </c>
      <c r="V34" s="12" t="str">
        <f t="shared" si="1"/>
        <v/>
      </c>
      <c r="W34" s="12" t="str">
        <f t="shared" si="1"/>
        <v/>
      </c>
      <c r="X34" s="12" t="str">
        <f t="shared" si="1"/>
        <v/>
      </c>
      <c r="Y34" s="12" t="str">
        <f t="shared" si="1"/>
        <v/>
      </c>
      <c r="Z34" s="12" t="str">
        <f t="shared" si="1"/>
        <v/>
      </c>
      <c r="AA34" s="12" t="str">
        <f t="shared" si="1"/>
        <v/>
      </c>
      <c r="AB34" s="12" t="str">
        <f t="shared" si="1"/>
        <v/>
      </c>
      <c r="AC34" s="12" t="str">
        <f t="shared" si="1"/>
        <v/>
      </c>
      <c r="AD34" s="12" t="str">
        <f t="shared" si="1"/>
        <v/>
      </c>
      <c r="AE34" s="12" t="str">
        <f t="shared" si="1"/>
        <v/>
      </c>
      <c r="AF34" s="12" t="str">
        <f t="shared" si="1"/>
        <v/>
      </c>
      <c r="AG34" s="12" t="str">
        <f t="shared" si="1"/>
        <v/>
      </c>
      <c r="AH34" s="12" t="str">
        <f t="shared" si="1"/>
        <v/>
      </c>
      <c r="AI34" s="12" t="str">
        <f t="shared" si="1"/>
        <v/>
      </c>
      <c r="AJ34" s="12" t="str">
        <f t="shared" si="1"/>
        <v/>
      </c>
      <c r="AK34" s="12" t="str">
        <f t="shared" si="1"/>
        <v/>
      </c>
      <c r="AL34" s="12">
        <f t="shared" si="1"/>
        <v>4.17</v>
      </c>
      <c r="AM34" s="12" t="str">
        <f t="shared" si="1"/>
        <v/>
      </c>
      <c r="AN34" s="12">
        <f t="shared" si="1"/>
        <v>5.56</v>
      </c>
      <c r="AO34" s="12" t="str">
        <f t="shared" si="1"/>
        <v/>
      </c>
      <c r="AP34" s="12">
        <f t="shared" si="1"/>
        <v>5.0599999999999996</v>
      </c>
      <c r="AQ34" s="12" t="str">
        <f t="shared" si="1"/>
        <v/>
      </c>
      <c r="AR34" s="12" t="str">
        <f t="shared" si="1"/>
        <v/>
      </c>
      <c r="AS34" s="12" t="str">
        <f t="shared" si="1"/>
        <v/>
      </c>
      <c r="AT34" s="12" t="str">
        <f t="shared" si="1"/>
        <v/>
      </c>
      <c r="AU34" s="12" t="str">
        <f t="shared" si="1"/>
        <v/>
      </c>
      <c r="AV34" s="12">
        <f t="shared" si="1"/>
        <v>6.56</v>
      </c>
      <c r="AW34" s="12">
        <f t="shared" si="1"/>
        <v>7.51</v>
      </c>
      <c r="AX34" s="12" t="str">
        <f t="shared" si="1"/>
        <v/>
      </c>
      <c r="AY34" s="12" t="str">
        <f t="shared" si="1"/>
        <v/>
      </c>
      <c r="AZ34" s="12" t="str">
        <f t="shared" si="1"/>
        <v/>
      </c>
      <c r="BA34" s="12" t="str">
        <f t="shared" si="1"/>
        <v/>
      </c>
      <c r="BB34" s="12" t="str">
        <f t="shared" si="1"/>
        <v/>
      </c>
      <c r="BC34" s="12" t="str">
        <f t="shared" si="1"/>
        <v/>
      </c>
      <c r="BD34" s="12" t="str">
        <f t="shared" si="1"/>
        <v/>
      </c>
      <c r="BE34" s="203" t="str">
        <f>IF(BE33=0,"",BE20)</f>
        <v/>
      </c>
      <c r="BG34" s="14" t="s">
        <v>279</v>
      </c>
    </row>
    <row r="35" spans="1:59">
      <c r="A35" s="207" t="s">
        <v>264</v>
      </c>
      <c r="B35" s="12"/>
      <c r="C35" s="12" t="str">
        <f>IF(C33=0,"",C13)</f>
        <v/>
      </c>
      <c r="D35" s="12" t="str">
        <f t="shared" ref="D35:BE35" si="2">IF(D33=0,"",D13)</f>
        <v/>
      </c>
      <c r="E35" s="12" t="str">
        <f t="shared" si="2"/>
        <v/>
      </c>
      <c r="F35" s="12" t="str">
        <f t="shared" si="2"/>
        <v/>
      </c>
      <c r="G35" s="12" t="str">
        <f t="shared" si="2"/>
        <v/>
      </c>
      <c r="H35" s="12" t="str">
        <f t="shared" si="2"/>
        <v/>
      </c>
      <c r="I35" s="12" t="str">
        <f t="shared" si="2"/>
        <v/>
      </c>
      <c r="J35" s="12" t="str">
        <f t="shared" si="2"/>
        <v/>
      </c>
      <c r="K35" s="12" t="str">
        <f t="shared" si="2"/>
        <v/>
      </c>
      <c r="L35" s="12" t="str">
        <f t="shared" si="2"/>
        <v/>
      </c>
      <c r="M35" s="12" t="str">
        <f t="shared" si="2"/>
        <v/>
      </c>
      <c r="N35" s="12" t="str">
        <f t="shared" si="2"/>
        <v/>
      </c>
      <c r="O35" s="12" t="str">
        <f t="shared" si="2"/>
        <v/>
      </c>
      <c r="P35" s="12" t="str">
        <f t="shared" si="2"/>
        <v/>
      </c>
      <c r="Q35" s="12" t="str">
        <f t="shared" si="2"/>
        <v/>
      </c>
      <c r="R35" s="12" t="str">
        <f t="shared" si="2"/>
        <v/>
      </c>
      <c r="S35" s="12" t="str">
        <f t="shared" si="2"/>
        <v/>
      </c>
      <c r="T35" s="12" t="str">
        <f t="shared" si="2"/>
        <v/>
      </c>
      <c r="U35" s="12" t="str">
        <f t="shared" si="2"/>
        <v/>
      </c>
      <c r="V35" s="12" t="str">
        <f t="shared" si="2"/>
        <v/>
      </c>
      <c r="W35" s="12" t="str">
        <f t="shared" si="2"/>
        <v/>
      </c>
      <c r="X35" s="12" t="str">
        <f t="shared" si="2"/>
        <v/>
      </c>
      <c r="Y35" s="12" t="str">
        <f t="shared" si="2"/>
        <v/>
      </c>
      <c r="Z35" s="12" t="str">
        <f t="shared" si="2"/>
        <v/>
      </c>
      <c r="AA35" s="12" t="str">
        <f t="shared" si="2"/>
        <v/>
      </c>
      <c r="AB35" s="12" t="str">
        <f t="shared" si="2"/>
        <v/>
      </c>
      <c r="AC35" s="12" t="str">
        <f t="shared" si="2"/>
        <v/>
      </c>
      <c r="AD35" s="12" t="str">
        <f t="shared" si="2"/>
        <v/>
      </c>
      <c r="AE35" s="12" t="str">
        <f t="shared" si="2"/>
        <v/>
      </c>
      <c r="AF35" s="12" t="str">
        <f t="shared" si="2"/>
        <v/>
      </c>
      <c r="AG35" s="12" t="str">
        <f t="shared" si="2"/>
        <v/>
      </c>
      <c r="AH35" s="12" t="str">
        <f t="shared" si="2"/>
        <v/>
      </c>
      <c r="AI35" s="12" t="str">
        <f t="shared" si="2"/>
        <v/>
      </c>
      <c r="AJ35" s="12" t="str">
        <f t="shared" si="2"/>
        <v/>
      </c>
      <c r="AK35" s="12" t="str">
        <f t="shared" si="2"/>
        <v/>
      </c>
      <c r="AL35" s="12">
        <f t="shared" si="2"/>
        <v>160</v>
      </c>
      <c r="AM35" s="12" t="str">
        <f t="shared" si="2"/>
        <v/>
      </c>
      <c r="AN35" s="12">
        <f t="shared" si="2"/>
        <v>280</v>
      </c>
      <c r="AO35" s="12" t="str">
        <f t="shared" si="2"/>
        <v/>
      </c>
      <c r="AP35" s="12">
        <f t="shared" si="2"/>
        <v>220</v>
      </c>
      <c r="AQ35" s="12" t="str">
        <f t="shared" si="2"/>
        <v/>
      </c>
      <c r="AR35" s="12" t="str">
        <f t="shared" si="2"/>
        <v/>
      </c>
      <c r="AS35" s="12" t="str">
        <f t="shared" si="2"/>
        <v/>
      </c>
      <c r="AT35" s="12" t="str">
        <f t="shared" si="2"/>
        <v/>
      </c>
      <c r="AU35" s="12" t="str">
        <f t="shared" si="2"/>
        <v/>
      </c>
      <c r="AV35" s="12">
        <f t="shared" si="2"/>
        <v>220</v>
      </c>
      <c r="AW35" s="12">
        <f t="shared" si="2"/>
        <v>310</v>
      </c>
      <c r="AX35" s="12" t="str">
        <f t="shared" si="2"/>
        <v/>
      </c>
      <c r="AY35" s="12" t="str">
        <f t="shared" si="2"/>
        <v/>
      </c>
      <c r="AZ35" s="12" t="str">
        <f t="shared" si="2"/>
        <v/>
      </c>
      <c r="BA35" s="12" t="str">
        <f t="shared" si="2"/>
        <v/>
      </c>
      <c r="BB35" s="12" t="str">
        <f t="shared" si="2"/>
        <v/>
      </c>
      <c r="BC35" s="12" t="str">
        <f t="shared" si="2"/>
        <v/>
      </c>
      <c r="BD35" s="12" t="str">
        <f t="shared" si="2"/>
        <v/>
      </c>
      <c r="BE35" s="203" t="str">
        <f t="shared" si="2"/>
        <v/>
      </c>
      <c r="BG35" s="14" t="s">
        <v>280</v>
      </c>
    </row>
    <row r="36" spans="1:59">
      <c r="A36" s="207" t="s">
        <v>113</v>
      </c>
      <c r="B36" s="12"/>
      <c r="C36" s="12" t="s">
        <v>138</v>
      </c>
      <c r="D36" s="12" t="s">
        <v>170</v>
      </c>
      <c r="E36" s="12" t="s">
        <v>171</v>
      </c>
      <c r="F36" s="12" t="s">
        <v>172</v>
      </c>
      <c r="G36" s="12" t="s">
        <v>173</v>
      </c>
      <c r="H36" s="12" t="s">
        <v>174</v>
      </c>
      <c r="I36" s="12" t="s">
        <v>175</v>
      </c>
      <c r="J36" s="12" t="s">
        <v>176</v>
      </c>
      <c r="K36" s="12" t="s">
        <v>177</v>
      </c>
      <c r="L36" s="12" t="s">
        <v>178</v>
      </c>
      <c r="M36" s="12" t="s">
        <v>179</v>
      </c>
      <c r="N36" s="12" t="s">
        <v>180</v>
      </c>
      <c r="O36" s="12" t="s">
        <v>181</v>
      </c>
      <c r="P36" s="12" t="s">
        <v>272</v>
      </c>
      <c r="Q36" s="12" t="s">
        <v>182</v>
      </c>
      <c r="R36" s="12" t="s">
        <v>183</v>
      </c>
      <c r="S36" s="12" t="s">
        <v>184</v>
      </c>
      <c r="T36" s="12" t="s">
        <v>214</v>
      </c>
      <c r="U36" s="12" t="s">
        <v>215</v>
      </c>
      <c r="V36" s="12" t="s">
        <v>185</v>
      </c>
      <c r="W36" s="12" t="s">
        <v>186</v>
      </c>
      <c r="X36" s="12" t="s">
        <v>187</v>
      </c>
      <c r="Y36" s="12" t="s">
        <v>188</v>
      </c>
      <c r="Z36" s="12" t="s">
        <v>271</v>
      </c>
      <c r="AA36" s="12" t="s">
        <v>189</v>
      </c>
      <c r="AB36" s="12" t="s">
        <v>190</v>
      </c>
      <c r="AC36" s="12" t="s">
        <v>191</v>
      </c>
      <c r="AD36" s="12" t="s">
        <v>192</v>
      </c>
      <c r="AE36" s="12" t="s">
        <v>193</v>
      </c>
      <c r="AF36" s="12" t="s">
        <v>194</v>
      </c>
      <c r="AG36" s="12" t="s">
        <v>195</v>
      </c>
      <c r="AH36" s="12" t="s">
        <v>196</v>
      </c>
      <c r="AI36" s="12" t="s">
        <v>197</v>
      </c>
      <c r="AJ36" s="12" t="s">
        <v>198</v>
      </c>
      <c r="AK36" s="12" t="s">
        <v>216</v>
      </c>
      <c r="AL36" s="12" t="s">
        <v>199</v>
      </c>
      <c r="AM36" s="12" t="s">
        <v>200</v>
      </c>
      <c r="AN36" s="12" t="s">
        <v>201</v>
      </c>
      <c r="AO36" s="12" t="s">
        <v>270</v>
      </c>
      <c r="AP36" s="12" t="s">
        <v>202</v>
      </c>
      <c r="AQ36" s="12" t="s">
        <v>203</v>
      </c>
      <c r="AR36" s="12" t="s">
        <v>204</v>
      </c>
      <c r="AS36" s="12" t="s">
        <v>217</v>
      </c>
      <c r="AT36" s="12" t="s">
        <v>218</v>
      </c>
      <c r="AU36" s="12" t="s">
        <v>219</v>
      </c>
      <c r="AV36" s="12" t="s">
        <v>205</v>
      </c>
      <c r="AW36" s="12" t="s">
        <v>206</v>
      </c>
      <c r="AX36" s="12" t="s">
        <v>207</v>
      </c>
      <c r="AY36" s="12" t="s">
        <v>208</v>
      </c>
      <c r="AZ36" s="12" t="s">
        <v>209</v>
      </c>
      <c r="BA36" s="12" t="s">
        <v>210</v>
      </c>
      <c r="BB36" s="12" t="s">
        <v>211</v>
      </c>
      <c r="BC36" s="12" t="s">
        <v>212</v>
      </c>
      <c r="BD36" s="12" t="s">
        <v>213</v>
      </c>
      <c r="BE36" s="203" t="s">
        <v>220</v>
      </c>
      <c r="BG36" s="14" t="s">
        <v>281</v>
      </c>
    </row>
    <row r="37" spans="1:59">
      <c r="A37" s="207" t="s">
        <v>98</v>
      </c>
      <c r="B37" s="12" t="s">
        <v>13</v>
      </c>
      <c r="C37" s="12">
        <f t="shared" ref="C37:F37" si="3">$O$27</f>
        <v>20</v>
      </c>
      <c r="D37" s="12">
        <f t="shared" si="3"/>
        <v>20</v>
      </c>
      <c r="E37" s="12">
        <f t="shared" si="3"/>
        <v>20</v>
      </c>
      <c r="F37" s="12">
        <f t="shared" si="3"/>
        <v>20</v>
      </c>
      <c r="G37" s="12">
        <f>$O$28</f>
        <v>50</v>
      </c>
      <c r="H37" s="12">
        <f t="shared" ref="H37:L37" si="4">$O$28</f>
        <v>50</v>
      </c>
      <c r="I37" s="12">
        <f t="shared" si="4"/>
        <v>50</v>
      </c>
      <c r="J37" s="12">
        <f t="shared" si="4"/>
        <v>50</v>
      </c>
      <c r="K37" s="12">
        <f t="shared" si="4"/>
        <v>50</v>
      </c>
      <c r="L37" s="12">
        <f t="shared" si="4"/>
        <v>50</v>
      </c>
      <c r="M37" s="12">
        <f>$O$29</f>
        <v>100</v>
      </c>
      <c r="N37" s="12">
        <f t="shared" ref="N37:BE37" si="5">$O$29</f>
        <v>100</v>
      </c>
      <c r="O37" s="12">
        <f t="shared" si="5"/>
        <v>100</v>
      </c>
      <c r="P37" s="12">
        <f t="shared" si="5"/>
        <v>100</v>
      </c>
      <c r="Q37" s="12">
        <f t="shared" si="5"/>
        <v>100</v>
      </c>
      <c r="R37" s="12">
        <f t="shared" si="5"/>
        <v>100</v>
      </c>
      <c r="S37" s="12">
        <f t="shared" si="5"/>
        <v>100</v>
      </c>
      <c r="T37" s="12">
        <f t="shared" si="5"/>
        <v>100</v>
      </c>
      <c r="U37" s="12">
        <f t="shared" si="5"/>
        <v>100</v>
      </c>
      <c r="V37" s="12">
        <f t="shared" si="5"/>
        <v>100</v>
      </c>
      <c r="W37" s="12">
        <f t="shared" si="5"/>
        <v>100</v>
      </c>
      <c r="X37" s="12">
        <f t="shared" si="5"/>
        <v>100</v>
      </c>
      <c r="Y37" s="12">
        <f t="shared" si="5"/>
        <v>100</v>
      </c>
      <c r="Z37" s="12">
        <f t="shared" si="5"/>
        <v>100</v>
      </c>
      <c r="AA37" s="12">
        <f t="shared" si="5"/>
        <v>100</v>
      </c>
      <c r="AB37" s="12">
        <f t="shared" si="5"/>
        <v>100</v>
      </c>
      <c r="AC37" s="12">
        <f t="shared" si="5"/>
        <v>100</v>
      </c>
      <c r="AD37" s="12">
        <f t="shared" si="5"/>
        <v>100</v>
      </c>
      <c r="AE37" s="12">
        <f t="shared" si="5"/>
        <v>100</v>
      </c>
      <c r="AF37" s="12">
        <f t="shared" si="5"/>
        <v>100</v>
      </c>
      <c r="AG37" s="12">
        <f t="shared" si="5"/>
        <v>100</v>
      </c>
      <c r="AH37" s="12">
        <f t="shared" si="5"/>
        <v>100</v>
      </c>
      <c r="AI37" s="12">
        <f t="shared" si="5"/>
        <v>100</v>
      </c>
      <c r="AJ37" s="12">
        <f t="shared" si="5"/>
        <v>100</v>
      </c>
      <c r="AK37" s="12">
        <f t="shared" si="5"/>
        <v>100</v>
      </c>
      <c r="AL37" s="12">
        <f t="shared" si="5"/>
        <v>100</v>
      </c>
      <c r="AM37" s="12">
        <f t="shared" si="5"/>
        <v>100</v>
      </c>
      <c r="AN37" s="12">
        <f t="shared" si="5"/>
        <v>100</v>
      </c>
      <c r="AO37" s="12">
        <f t="shared" si="5"/>
        <v>100</v>
      </c>
      <c r="AP37" s="12">
        <f t="shared" si="5"/>
        <v>100</v>
      </c>
      <c r="AQ37" s="12">
        <f t="shared" si="5"/>
        <v>100</v>
      </c>
      <c r="AR37" s="12">
        <f t="shared" si="5"/>
        <v>100</v>
      </c>
      <c r="AS37" s="12">
        <f t="shared" si="5"/>
        <v>100</v>
      </c>
      <c r="AT37" s="12">
        <f t="shared" si="5"/>
        <v>100</v>
      </c>
      <c r="AU37" s="12">
        <f t="shared" si="5"/>
        <v>100</v>
      </c>
      <c r="AV37" s="12">
        <f t="shared" si="5"/>
        <v>100</v>
      </c>
      <c r="AW37" s="12">
        <f t="shared" si="5"/>
        <v>100</v>
      </c>
      <c r="AX37" s="12">
        <f t="shared" si="5"/>
        <v>100</v>
      </c>
      <c r="AY37" s="12">
        <f t="shared" si="5"/>
        <v>100</v>
      </c>
      <c r="AZ37" s="12">
        <f t="shared" si="5"/>
        <v>100</v>
      </c>
      <c r="BA37" s="12">
        <f t="shared" si="5"/>
        <v>100</v>
      </c>
      <c r="BB37" s="12">
        <f t="shared" si="5"/>
        <v>100</v>
      </c>
      <c r="BC37" s="12">
        <f t="shared" si="5"/>
        <v>100</v>
      </c>
      <c r="BD37" s="12">
        <f t="shared" si="5"/>
        <v>100</v>
      </c>
      <c r="BE37" s="203">
        <f t="shared" si="5"/>
        <v>100</v>
      </c>
      <c r="BG37" s="14" t="s">
        <v>282</v>
      </c>
    </row>
    <row r="38" spans="1:59" s="223" customFormat="1" ht="13.5" customHeight="1">
      <c r="A38" s="207" t="s">
        <v>164</v>
      </c>
      <c r="B38" s="12" t="s">
        <v>0</v>
      </c>
      <c r="C38" s="12">
        <f>C15+$J$26</f>
        <v>4.9000000000000002E-2</v>
      </c>
      <c r="D38" s="12">
        <f t="shared" ref="D38:N38" si="6">D15+$J$26</f>
        <v>5.1000000000000004E-2</v>
      </c>
      <c r="E38" s="12">
        <f t="shared" si="6"/>
        <v>5.3999999999999999E-2</v>
      </c>
      <c r="F38" s="12">
        <f t="shared" si="6"/>
        <v>7.5000000000000011E-2</v>
      </c>
      <c r="G38" s="12">
        <f t="shared" si="6"/>
        <v>0.09</v>
      </c>
      <c r="H38" s="12">
        <f t="shared" si="6"/>
        <v>0.1</v>
      </c>
      <c r="I38" s="12">
        <f t="shared" si="6"/>
        <v>0.12</v>
      </c>
      <c r="J38" s="12">
        <f t="shared" si="6"/>
        <v>0.13</v>
      </c>
      <c r="K38" s="12">
        <f t="shared" si="6"/>
        <v>0.16</v>
      </c>
      <c r="L38" s="12">
        <f t="shared" si="6"/>
        <v>0.2</v>
      </c>
      <c r="M38" s="12">
        <f t="shared" si="6"/>
        <v>0.19</v>
      </c>
      <c r="N38" s="12">
        <f t="shared" si="6"/>
        <v>0.24000000000000002</v>
      </c>
      <c r="O38" s="12">
        <f>O15+$J$26</f>
        <v>0.33999999999999997</v>
      </c>
      <c r="P38" s="12">
        <f>P15+$J$26</f>
        <v>0.54</v>
      </c>
      <c r="Q38" s="12">
        <f>Q15+$J$26</f>
        <v>0.33999999999999997</v>
      </c>
      <c r="R38" s="12">
        <f>R15+$J$26</f>
        <v>0.54</v>
      </c>
      <c r="S38" s="12">
        <f>S15+$J$26</f>
        <v>0.74</v>
      </c>
      <c r="T38" s="12">
        <f t="shared" ref="T38:BE38" si="7">T15+$J$26</f>
        <v>0.36000000000000004</v>
      </c>
      <c r="U38" s="12">
        <f t="shared" si="7"/>
        <v>0.47</v>
      </c>
      <c r="V38" s="12">
        <f t="shared" si="7"/>
        <v>0.84000000000000008</v>
      </c>
      <c r="W38" s="12">
        <f t="shared" si="7"/>
        <v>1.1400000000000001</v>
      </c>
      <c r="X38" s="12">
        <f t="shared" si="7"/>
        <v>1.54</v>
      </c>
      <c r="Y38" s="12">
        <f t="shared" si="7"/>
        <v>2.94</v>
      </c>
      <c r="Z38" s="12">
        <f t="shared" si="7"/>
        <v>2.74</v>
      </c>
      <c r="AA38" s="12">
        <f t="shared" si="7"/>
        <v>0.80561226243810558</v>
      </c>
      <c r="AB38" s="12">
        <f t="shared" si="7"/>
        <v>1.1884183936571584</v>
      </c>
      <c r="AC38" s="12">
        <f t="shared" si="7"/>
        <v>1.5712245248762111</v>
      </c>
      <c r="AD38" s="12">
        <f t="shared" si="7"/>
        <v>1.24</v>
      </c>
      <c r="AE38" s="12">
        <f t="shared" si="7"/>
        <v>1.74</v>
      </c>
      <c r="AF38" s="12">
        <f t="shared" si="7"/>
        <v>2.2400000000000002</v>
      </c>
      <c r="AG38" s="12">
        <f t="shared" si="7"/>
        <v>4.24</v>
      </c>
      <c r="AH38" s="12">
        <f t="shared" si="7"/>
        <v>1.3256076175653635</v>
      </c>
      <c r="AI38" s="12">
        <f t="shared" si="7"/>
        <v>1.9684114263480454</v>
      </c>
      <c r="AJ38" s="12">
        <f t="shared" si="7"/>
        <v>2.611215235130727</v>
      </c>
      <c r="AK38" s="12">
        <f t="shared" si="7"/>
        <v>0.38</v>
      </c>
      <c r="AL38" s="12">
        <f t="shared" si="7"/>
        <v>1.34</v>
      </c>
      <c r="AM38" s="12">
        <f t="shared" si="7"/>
        <v>1.94</v>
      </c>
      <c r="AN38" s="12">
        <f t="shared" si="7"/>
        <v>2.44</v>
      </c>
      <c r="AO38" s="12">
        <f t="shared" si="7"/>
        <v>4.4400000000000004</v>
      </c>
      <c r="AP38" s="12">
        <f t="shared" si="7"/>
        <v>3.04</v>
      </c>
      <c r="AQ38" s="12">
        <f t="shared" si="7"/>
        <v>4.24</v>
      </c>
      <c r="AR38" s="12">
        <f t="shared" si="7"/>
        <v>5.44</v>
      </c>
      <c r="AS38" s="12">
        <f t="shared" si="7"/>
        <v>3.04</v>
      </c>
      <c r="AT38" s="12">
        <f t="shared" si="7"/>
        <v>4.4400000000000004</v>
      </c>
      <c r="AU38" s="12">
        <f t="shared" si="7"/>
        <v>5.74</v>
      </c>
      <c r="AV38" s="12">
        <f t="shared" si="7"/>
        <v>3.04</v>
      </c>
      <c r="AW38" s="12">
        <f t="shared" si="7"/>
        <v>4.24</v>
      </c>
      <c r="AX38" s="12">
        <f t="shared" si="7"/>
        <v>5.44</v>
      </c>
      <c r="AY38" s="12">
        <f t="shared" si="7"/>
        <v>10.039999999999999</v>
      </c>
      <c r="AZ38" s="12">
        <f t="shared" si="7"/>
        <v>13.04</v>
      </c>
      <c r="BA38" s="12">
        <f t="shared" si="7"/>
        <v>15.04</v>
      </c>
      <c r="BB38" s="12">
        <f t="shared" si="7"/>
        <v>16.04</v>
      </c>
      <c r="BC38" s="12">
        <f t="shared" si="7"/>
        <v>21.04</v>
      </c>
      <c r="BD38" s="12">
        <f t="shared" si="7"/>
        <v>27.04</v>
      </c>
      <c r="BE38" s="203">
        <f t="shared" si="7"/>
        <v>42.04</v>
      </c>
      <c r="BG38" s="223" t="s">
        <v>294</v>
      </c>
    </row>
    <row r="39" spans="1:59" ht="13.5">
      <c r="A39" s="207" t="s">
        <v>234</v>
      </c>
      <c r="B39" s="12" t="s">
        <v>227</v>
      </c>
      <c r="C39" s="12">
        <f t="shared" ref="C39:AH39" si="8">C38*9.81*($L$27*COS($J$28)+SIN($J$28))+$L$26</f>
        <v>4.0480689999999999</v>
      </c>
      <c r="D39" s="12">
        <f t="shared" si="8"/>
        <v>4.0500309999999997</v>
      </c>
      <c r="E39" s="12">
        <f t="shared" si="8"/>
        <v>4.0529739999999999</v>
      </c>
      <c r="F39" s="12">
        <f t="shared" si="8"/>
        <v>4.0735749999999999</v>
      </c>
      <c r="G39" s="12">
        <f t="shared" si="8"/>
        <v>4.0882899999999998</v>
      </c>
      <c r="H39" s="12">
        <f t="shared" si="8"/>
        <v>4.0980999999999996</v>
      </c>
      <c r="I39" s="12">
        <f t="shared" si="8"/>
        <v>4.1177200000000003</v>
      </c>
      <c r="J39" s="12">
        <f t="shared" si="8"/>
        <v>4.1275300000000001</v>
      </c>
      <c r="K39" s="12">
        <f t="shared" si="8"/>
        <v>4.1569599999999998</v>
      </c>
      <c r="L39" s="12">
        <f t="shared" si="8"/>
        <v>4.1962000000000002</v>
      </c>
      <c r="M39" s="12">
        <f t="shared" si="8"/>
        <v>4.1863900000000003</v>
      </c>
      <c r="N39" s="12">
        <f t="shared" si="8"/>
        <v>4.2354399999999996</v>
      </c>
      <c r="O39" s="12">
        <f t="shared" si="8"/>
        <v>4.3335400000000002</v>
      </c>
      <c r="P39" s="12">
        <f t="shared" si="8"/>
        <v>4.5297400000000003</v>
      </c>
      <c r="Q39" s="12">
        <f t="shared" si="8"/>
        <v>4.3335400000000002</v>
      </c>
      <c r="R39" s="12">
        <f t="shared" si="8"/>
        <v>4.5297400000000003</v>
      </c>
      <c r="S39" s="12">
        <f t="shared" si="8"/>
        <v>4.7259399999999996</v>
      </c>
      <c r="T39" s="12">
        <f t="shared" si="8"/>
        <v>4.3531599999999999</v>
      </c>
      <c r="U39" s="12">
        <f t="shared" si="8"/>
        <v>4.4610700000000003</v>
      </c>
      <c r="V39" s="12">
        <f t="shared" si="8"/>
        <v>4.8240400000000001</v>
      </c>
      <c r="W39" s="12">
        <f t="shared" si="8"/>
        <v>5.1183399999999999</v>
      </c>
      <c r="X39" s="12">
        <f t="shared" si="8"/>
        <v>5.5107400000000002</v>
      </c>
      <c r="Y39" s="12">
        <f t="shared" si="8"/>
        <v>6.8841400000000004</v>
      </c>
      <c r="Z39" s="12">
        <f t="shared" si="8"/>
        <v>6.6879400000000011</v>
      </c>
      <c r="AA39" s="12">
        <f t="shared" si="8"/>
        <v>4.7903056294517814</v>
      </c>
      <c r="AB39" s="12">
        <f t="shared" si="8"/>
        <v>5.1658384441776724</v>
      </c>
      <c r="AC39" s="12">
        <f t="shared" si="8"/>
        <v>5.5413712589035633</v>
      </c>
      <c r="AD39" s="12">
        <f t="shared" si="8"/>
        <v>5.2164400000000004</v>
      </c>
      <c r="AE39" s="12">
        <f t="shared" si="8"/>
        <v>5.7069400000000003</v>
      </c>
      <c r="AF39" s="12">
        <f t="shared" si="8"/>
        <v>6.1974400000000003</v>
      </c>
      <c r="AG39" s="12">
        <f t="shared" si="8"/>
        <v>8.15944</v>
      </c>
      <c r="AH39" s="12">
        <f t="shared" si="8"/>
        <v>5.3004210728316217</v>
      </c>
      <c r="AI39" s="12">
        <f t="shared" ref="AI39:BD39" si="9">AI38*9.81*($L$27*COS($J$28)+SIN($J$28))+$L$26</f>
        <v>5.9310116092474328</v>
      </c>
      <c r="AJ39" s="12">
        <f t="shared" si="9"/>
        <v>6.5616021456632438</v>
      </c>
      <c r="AK39" s="12">
        <f t="shared" si="9"/>
        <v>4.3727799999999997</v>
      </c>
      <c r="AL39" s="12">
        <f t="shared" si="9"/>
        <v>5.31454</v>
      </c>
      <c r="AM39" s="12">
        <f t="shared" si="9"/>
        <v>5.9031400000000005</v>
      </c>
      <c r="AN39" s="12">
        <f t="shared" si="9"/>
        <v>6.3936399999999995</v>
      </c>
      <c r="AO39" s="12">
        <f t="shared" si="9"/>
        <v>8.3556400000000011</v>
      </c>
      <c r="AP39" s="12">
        <f t="shared" si="9"/>
        <v>6.9822400000000009</v>
      </c>
      <c r="AQ39" s="12">
        <f t="shared" si="9"/>
        <v>8.15944</v>
      </c>
      <c r="AR39" s="12">
        <f t="shared" si="9"/>
        <v>9.3366400000000009</v>
      </c>
      <c r="AS39" s="12">
        <f t="shared" si="9"/>
        <v>6.9822400000000009</v>
      </c>
      <c r="AT39" s="12">
        <f t="shared" si="9"/>
        <v>8.3556400000000011</v>
      </c>
      <c r="AU39" s="12">
        <f t="shared" si="9"/>
        <v>9.6309400000000007</v>
      </c>
      <c r="AV39" s="12">
        <f t="shared" si="9"/>
        <v>6.9822400000000009</v>
      </c>
      <c r="AW39" s="12">
        <f t="shared" si="9"/>
        <v>8.15944</v>
      </c>
      <c r="AX39" s="12">
        <f t="shared" si="9"/>
        <v>9.3366400000000009</v>
      </c>
      <c r="AY39" s="12">
        <f t="shared" si="9"/>
        <v>13.849240000000002</v>
      </c>
      <c r="AZ39" s="12">
        <f t="shared" si="9"/>
        <v>16.79224</v>
      </c>
      <c r="BA39" s="12">
        <f t="shared" si="9"/>
        <v>18.754239999999999</v>
      </c>
      <c r="BB39" s="12">
        <f t="shared" si="9"/>
        <v>19.735239999999997</v>
      </c>
      <c r="BC39" s="12">
        <f t="shared" si="9"/>
        <v>24.640240000000002</v>
      </c>
      <c r="BD39" s="12">
        <f t="shared" si="9"/>
        <v>30.526240000000001</v>
      </c>
      <c r="BE39" s="203">
        <f>BE38*9.81*($L$27*COS($J$28)+SIN($J$28))+$L$26</f>
        <v>45.241240000000005</v>
      </c>
      <c r="BG39" s="14" t="s">
        <v>293</v>
      </c>
    </row>
    <row r="40" spans="1:59" ht="13.5">
      <c r="A40" s="207" t="s">
        <v>240</v>
      </c>
      <c r="B40" s="12" t="s">
        <v>227</v>
      </c>
      <c r="C40" s="12">
        <f>C38*9.81*SIN($J$28)</f>
        <v>0</v>
      </c>
      <c r="D40" s="12">
        <f t="shared" ref="D40:N40" si="10">D38*9.81*SIN($J$28)</f>
        <v>0</v>
      </c>
      <c r="E40" s="12">
        <f t="shared" si="10"/>
        <v>0</v>
      </c>
      <c r="F40" s="12">
        <f t="shared" si="10"/>
        <v>0</v>
      </c>
      <c r="G40" s="12">
        <f t="shared" si="10"/>
        <v>0</v>
      </c>
      <c r="H40" s="12">
        <f t="shared" si="10"/>
        <v>0</v>
      </c>
      <c r="I40" s="12">
        <f t="shared" si="10"/>
        <v>0</v>
      </c>
      <c r="J40" s="12">
        <f t="shared" si="10"/>
        <v>0</v>
      </c>
      <c r="K40" s="12">
        <f t="shared" si="10"/>
        <v>0</v>
      </c>
      <c r="L40" s="12">
        <f t="shared" si="10"/>
        <v>0</v>
      </c>
      <c r="M40" s="12">
        <f t="shared" si="10"/>
        <v>0</v>
      </c>
      <c r="N40" s="12">
        <f t="shared" si="10"/>
        <v>0</v>
      </c>
      <c r="O40" s="12">
        <f>O38*9.81*SIN($J$28)</f>
        <v>0</v>
      </c>
      <c r="P40" s="12">
        <f>P38*9.81*SIN($J$28)</f>
        <v>0</v>
      </c>
      <c r="Q40" s="12">
        <f>Q38*9.81*SIN($J$28)</f>
        <v>0</v>
      </c>
      <c r="R40" s="12">
        <f>R38*9.81*SIN($J$28)</f>
        <v>0</v>
      </c>
      <c r="S40" s="12">
        <f>S38*9.81*SIN($J$28)</f>
        <v>0</v>
      </c>
      <c r="T40" s="12">
        <f t="shared" ref="T40:BD40" si="11">T38*9.81*SIN($J$28)</f>
        <v>0</v>
      </c>
      <c r="U40" s="12">
        <f t="shared" si="11"/>
        <v>0</v>
      </c>
      <c r="V40" s="12">
        <f t="shared" si="11"/>
        <v>0</v>
      </c>
      <c r="W40" s="12">
        <f t="shared" si="11"/>
        <v>0</v>
      </c>
      <c r="X40" s="12">
        <f t="shared" si="11"/>
        <v>0</v>
      </c>
      <c r="Y40" s="12">
        <f t="shared" si="11"/>
        <v>0</v>
      </c>
      <c r="Z40" s="12">
        <f t="shared" si="11"/>
        <v>0</v>
      </c>
      <c r="AA40" s="12">
        <f t="shared" si="11"/>
        <v>0</v>
      </c>
      <c r="AB40" s="12">
        <f t="shared" si="11"/>
        <v>0</v>
      </c>
      <c r="AC40" s="12">
        <f t="shared" si="11"/>
        <v>0</v>
      </c>
      <c r="AD40" s="12">
        <f t="shared" si="11"/>
        <v>0</v>
      </c>
      <c r="AE40" s="12">
        <f t="shared" si="11"/>
        <v>0</v>
      </c>
      <c r="AF40" s="12">
        <f t="shared" si="11"/>
        <v>0</v>
      </c>
      <c r="AG40" s="12">
        <f t="shared" si="11"/>
        <v>0</v>
      </c>
      <c r="AH40" s="12">
        <f t="shared" si="11"/>
        <v>0</v>
      </c>
      <c r="AI40" s="12">
        <f t="shared" si="11"/>
        <v>0</v>
      </c>
      <c r="AJ40" s="12">
        <f t="shared" si="11"/>
        <v>0</v>
      </c>
      <c r="AK40" s="12">
        <f t="shared" si="11"/>
        <v>0</v>
      </c>
      <c r="AL40" s="12">
        <f t="shared" si="11"/>
        <v>0</v>
      </c>
      <c r="AM40" s="12">
        <f t="shared" si="11"/>
        <v>0</v>
      </c>
      <c r="AN40" s="12">
        <f t="shared" si="11"/>
        <v>0</v>
      </c>
      <c r="AO40" s="12">
        <f t="shared" si="11"/>
        <v>0</v>
      </c>
      <c r="AP40" s="12">
        <f t="shared" si="11"/>
        <v>0</v>
      </c>
      <c r="AQ40" s="12">
        <f t="shared" si="11"/>
        <v>0</v>
      </c>
      <c r="AR40" s="12">
        <f t="shared" si="11"/>
        <v>0</v>
      </c>
      <c r="AS40" s="12">
        <f t="shared" si="11"/>
        <v>0</v>
      </c>
      <c r="AT40" s="12">
        <f t="shared" si="11"/>
        <v>0</v>
      </c>
      <c r="AU40" s="12">
        <f t="shared" si="11"/>
        <v>0</v>
      </c>
      <c r="AV40" s="12">
        <f t="shared" si="11"/>
        <v>0</v>
      </c>
      <c r="AW40" s="12">
        <f t="shared" si="11"/>
        <v>0</v>
      </c>
      <c r="AX40" s="12">
        <f t="shared" si="11"/>
        <v>0</v>
      </c>
      <c r="AY40" s="12">
        <f t="shared" si="11"/>
        <v>0</v>
      </c>
      <c r="AZ40" s="12">
        <f t="shared" si="11"/>
        <v>0</v>
      </c>
      <c r="BA40" s="12">
        <f t="shared" si="11"/>
        <v>0</v>
      </c>
      <c r="BB40" s="12">
        <f t="shared" si="11"/>
        <v>0</v>
      </c>
      <c r="BC40" s="12">
        <f t="shared" si="11"/>
        <v>0</v>
      </c>
      <c r="BD40" s="12">
        <f t="shared" si="11"/>
        <v>0</v>
      </c>
      <c r="BE40" s="203">
        <f>BE38*9.81*SIN($J$28)</f>
        <v>0</v>
      </c>
      <c r="BG40" s="14" t="s">
        <v>292</v>
      </c>
    </row>
    <row r="41" spans="1:59" ht="15">
      <c r="A41" s="207" t="s">
        <v>239</v>
      </c>
      <c r="B41" s="12" t="s">
        <v>227</v>
      </c>
      <c r="C41" s="12">
        <f>SQRT(((C38*$Q$28)+(C39^2*$S$26)+(C40^2*$S$27))/$S$28)</f>
        <v>6.8248829004161795</v>
      </c>
      <c r="D41" s="12">
        <f t="shared" ref="D41:N41" si="12">SQRT(((D38*$Q$28)+(D39^2*$S$26)+(D40^2*$S$27))/$S$28)</f>
        <v>6.9621189483690848</v>
      </c>
      <c r="E41" s="12">
        <f t="shared" si="12"/>
        <v>7.1630448081059974</v>
      </c>
      <c r="F41" s="12">
        <f t="shared" si="12"/>
        <v>8.4365865367845903</v>
      </c>
      <c r="G41" s="12">
        <f t="shared" si="12"/>
        <v>9.2394024610139631</v>
      </c>
      <c r="H41" s="12">
        <f t="shared" si="12"/>
        <v>9.7379124126420464</v>
      </c>
      <c r="I41" s="12">
        <f t="shared" si="12"/>
        <v>10.665256998903413</v>
      </c>
      <c r="J41" s="12">
        <f t="shared" si="12"/>
        <v>11.099914199187811</v>
      </c>
      <c r="K41" s="12">
        <f t="shared" si="12"/>
        <v>12.312159699796856</v>
      </c>
      <c r="L41" s="12">
        <f t="shared" si="12"/>
        <v>13.763389446807174</v>
      </c>
      <c r="M41" s="12">
        <f t="shared" si="12"/>
        <v>13.415307744818971</v>
      </c>
      <c r="N41" s="12">
        <f t="shared" si="12"/>
        <v>15.075561171187029</v>
      </c>
      <c r="O41" s="12">
        <f>SQRT(((O38*$Q$28)+(O39^2*$S$26)+(O40^2*$S$27))/$S$28)</f>
        <v>17.940927276108159</v>
      </c>
      <c r="P41" s="12">
        <f>SQRT(((P38*$Q$28)+(P39^2*$S$26)+(P40^2*$S$27))/$S$28)</f>
        <v>22.607218560118856</v>
      </c>
      <c r="Q41" s="12">
        <f>SQRT(((Q38*$Q$28)+(Q39^2*$S$26)+(Q40^2*$S$27))/$S$28)</f>
        <v>17.940927276108159</v>
      </c>
      <c r="R41" s="12">
        <f>SQRT(((R38*$Q$28)+(R39^2*$S$26)+(R40^2*$S$27))/$S$28)</f>
        <v>22.607218560118856</v>
      </c>
      <c r="S41" s="12">
        <f>SQRT(((S38*$Q$28)+(S39^2*$S$26)+(S40^2*$S$27))/$S$28)</f>
        <v>26.463122733094163</v>
      </c>
      <c r="T41" s="12">
        <f t="shared" ref="T41:BE41" si="13">SQRT(((T38*$Q$28)+(T39^2*$S$26)+(T40^2*$S$27))/$S$28)</f>
        <v>18.460708792854756</v>
      </c>
      <c r="U41" s="12">
        <f t="shared" si="13"/>
        <v>21.091773230411015</v>
      </c>
      <c r="V41" s="12">
        <f t="shared" si="13"/>
        <v>28.194015934529567</v>
      </c>
      <c r="W41" s="12">
        <f t="shared" si="13"/>
        <v>32.843890681537353</v>
      </c>
      <c r="X41" s="12">
        <f t="shared" si="13"/>
        <v>38.172630803607369</v>
      </c>
      <c r="Y41" s="12">
        <f t="shared" si="13"/>
        <v>52.741668892385427</v>
      </c>
      <c r="Z41" s="12">
        <f t="shared" si="13"/>
        <v>50.916218309045043</v>
      </c>
      <c r="AA41" s="12">
        <f t="shared" si="13"/>
        <v>27.611044072861514</v>
      </c>
      <c r="AB41" s="12">
        <f t="shared" si="13"/>
        <v>33.533985556394192</v>
      </c>
      <c r="AC41" s="12">
        <f t="shared" si="13"/>
        <v>38.557626423029092</v>
      </c>
      <c r="AD41" s="12">
        <f t="shared" si="13"/>
        <v>34.253874220209305</v>
      </c>
      <c r="AE41" s="12">
        <f t="shared" si="13"/>
        <v>40.575431575616619</v>
      </c>
      <c r="AF41" s="12">
        <f t="shared" si="13"/>
        <v>46.037051492767041</v>
      </c>
      <c r="AG41" s="12">
        <f t="shared" si="13"/>
        <v>63.337627852749208</v>
      </c>
      <c r="AH41" s="12">
        <f t="shared" si="13"/>
        <v>35.416361925676107</v>
      </c>
      <c r="AI41" s="12">
        <f t="shared" si="13"/>
        <v>43.156254881474531</v>
      </c>
      <c r="AJ41" s="12">
        <f t="shared" si="13"/>
        <v>49.7053022905285</v>
      </c>
      <c r="AK41" s="12">
        <f t="shared" si="13"/>
        <v>18.966251012922992</v>
      </c>
      <c r="AL41" s="12">
        <f t="shared" si="13"/>
        <v>35.608073686355525</v>
      </c>
      <c r="AM41" s="12">
        <f t="shared" si="13"/>
        <v>42.843699967323317</v>
      </c>
      <c r="AN41" s="12">
        <f t="shared" si="13"/>
        <v>48.048202621417197</v>
      </c>
      <c r="AO41" s="12">
        <f t="shared" si="13"/>
        <v>64.814238479278998</v>
      </c>
      <c r="AP41" s="12">
        <f t="shared" si="13"/>
        <v>53.631103062799745</v>
      </c>
      <c r="AQ41" s="12">
        <f t="shared" si="13"/>
        <v>63.337627852749208</v>
      </c>
      <c r="AR41" s="12">
        <f t="shared" si="13"/>
        <v>71.742969424034598</v>
      </c>
      <c r="AS41" s="12">
        <f t="shared" si="13"/>
        <v>53.631103062799745</v>
      </c>
      <c r="AT41" s="12">
        <f t="shared" si="13"/>
        <v>64.814238479278998</v>
      </c>
      <c r="AU41" s="12">
        <f t="shared" si="13"/>
        <v>73.694703639074191</v>
      </c>
      <c r="AV41" s="12">
        <f t="shared" si="13"/>
        <v>53.631103062799745</v>
      </c>
      <c r="AW41" s="12">
        <f t="shared" si="13"/>
        <v>63.337627852749208</v>
      </c>
      <c r="AX41" s="12">
        <f t="shared" si="13"/>
        <v>71.742969424034598</v>
      </c>
      <c r="AY41" s="12">
        <f t="shared" si="13"/>
        <v>97.466779337373012</v>
      </c>
      <c r="AZ41" s="12">
        <f t="shared" si="13"/>
        <v>111.08019306425076</v>
      </c>
      <c r="BA41" s="12">
        <f t="shared" si="13"/>
        <v>119.29641396670519</v>
      </c>
      <c r="BB41" s="12">
        <f t="shared" si="13"/>
        <v>123.19937993860481</v>
      </c>
      <c r="BC41" s="12">
        <f t="shared" si="13"/>
        <v>141.10547199082475</v>
      </c>
      <c r="BD41" s="12">
        <f t="shared" si="13"/>
        <v>159.97137526222946</v>
      </c>
      <c r="BE41" s="203">
        <f t="shared" si="13"/>
        <v>199.48756229256594</v>
      </c>
      <c r="BG41" s="14" t="s">
        <v>291</v>
      </c>
    </row>
    <row r="42" spans="1:59" ht="13.5">
      <c r="A42" s="207" t="s">
        <v>122</v>
      </c>
      <c r="B42" s="12" t="s">
        <v>227</v>
      </c>
      <c r="C42" s="12">
        <f t="shared" ref="C42:AH42" si="14">($Q$30*C38)+C39+$L$28</f>
        <v>24.954735666666672</v>
      </c>
      <c r="D42" s="12">
        <f t="shared" si="14"/>
        <v>25.810031000000006</v>
      </c>
      <c r="E42" s="12">
        <f t="shared" si="14"/>
        <v>27.092974000000002</v>
      </c>
      <c r="F42" s="12">
        <f t="shared" si="14"/>
        <v>36.073575000000005</v>
      </c>
      <c r="G42" s="12">
        <f t="shared" si="14"/>
        <v>42.488290000000006</v>
      </c>
      <c r="H42" s="12">
        <f t="shared" si="14"/>
        <v>46.764766666666681</v>
      </c>
      <c r="I42" s="12">
        <f t="shared" si="14"/>
        <v>55.317720000000008</v>
      </c>
      <c r="J42" s="12">
        <f t="shared" si="14"/>
        <v>59.594196666666676</v>
      </c>
      <c r="K42" s="12">
        <f t="shared" si="14"/>
        <v>72.423626666666678</v>
      </c>
      <c r="L42" s="12">
        <f t="shared" si="14"/>
        <v>89.529533333333362</v>
      </c>
      <c r="M42" s="12">
        <f t="shared" si="14"/>
        <v>85.25305666666668</v>
      </c>
      <c r="N42" s="12">
        <f t="shared" si="14"/>
        <v>106.63544000000002</v>
      </c>
      <c r="O42" s="12">
        <f t="shared" si="14"/>
        <v>149.40020666666669</v>
      </c>
      <c r="P42" s="12">
        <f t="shared" si="14"/>
        <v>234.92974000000007</v>
      </c>
      <c r="Q42" s="12">
        <f t="shared" si="14"/>
        <v>149.40020666666669</v>
      </c>
      <c r="R42" s="12">
        <f t="shared" si="14"/>
        <v>234.92974000000007</v>
      </c>
      <c r="S42" s="12">
        <f t="shared" si="14"/>
        <v>320.45927333333339</v>
      </c>
      <c r="T42" s="12">
        <f t="shared" si="14"/>
        <v>157.95316000000005</v>
      </c>
      <c r="U42" s="12">
        <f t="shared" si="14"/>
        <v>204.99440333333337</v>
      </c>
      <c r="V42" s="12">
        <f t="shared" si="14"/>
        <v>363.22404000000012</v>
      </c>
      <c r="W42" s="12">
        <f t="shared" si="14"/>
        <v>491.51834000000014</v>
      </c>
      <c r="X42" s="12">
        <f t="shared" si="14"/>
        <v>662.57740666666689</v>
      </c>
      <c r="Y42" s="12">
        <f t="shared" si="14"/>
        <v>1261.28414</v>
      </c>
      <c r="Z42" s="12">
        <f t="shared" si="14"/>
        <v>1175.7546066666671</v>
      </c>
      <c r="AA42" s="12">
        <f t="shared" si="14"/>
        <v>348.51820426971022</v>
      </c>
      <c r="AB42" s="12">
        <f t="shared" si="14"/>
        <v>512.22435307123203</v>
      </c>
      <c r="AC42" s="12">
        <f t="shared" si="14"/>
        <v>675.93050187275378</v>
      </c>
      <c r="AD42" s="12">
        <f t="shared" si="14"/>
        <v>534.28310666666675</v>
      </c>
      <c r="AE42" s="12">
        <f t="shared" si="14"/>
        <v>748.10694000000012</v>
      </c>
      <c r="AF42" s="12">
        <f t="shared" si="14"/>
        <v>961.9307733333336</v>
      </c>
      <c r="AG42" s="12">
        <f t="shared" si="14"/>
        <v>1817.226106666667</v>
      </c>
      <c r="AH42" s="12">
        <f t="shared" si="14"/>
        <v>570.89300456738681</v>
      </c>
      <c r="AI42" s="12">
        <f t="shared" ref="AI42:BE42" si="15">($Q$30*AI38)+AI39+$L$28</f>
        <v>845.78655351774694</v>
      </c>
      <c r="AJ42" s="12">
        <f t="shared" si="15"/>
        <v>1120.680102468107</v>
      </c>
      <c r="AK42" s="12">
        <f t="shared" si="15"/>
        <v>166.50611333333336</v>
      </c>
      <c r="AL42" s="12">
        <f t="shared" si="15"/>
        <v>577.04787333333343</v>
      </c>
      <c r="AM42" s="12">
        <f t="shared" si="15"/>
        <v>833.63647333333347</v>
      </c>
      <c r="AN42" s="12">
        <f t="shared" si="15"/>
        <v>1047.4603066666668</v>
      </c>
      <c r="AO42" s="12">
        <f t="shared" si="15"/>
        <v>1902.7556400000005</v>
      </c>
      <c r="AP42" s="12">
        <f t="shared" si="15"/>
        <v>1304.0489066666669</v>
      </c>
      <c r="AQ42" s="12">
        <f t="shared" si="15"/>
        <v>1817.226106666667</v>
      </c>
      <c r="AR42" s="12">
        <f t="shared" si="15"/>
        <v>2330.403306666667</v>
      </c>
      <c r="AS42" s="12">
        <f t="shared" si="15"/>
        <v>1304.0489066666669</v>
      </c>
      <c r="AT42" s="12">
        <f t="shared" si="15"/>
        <v>1902.7556400000005</v>
      </c>
      <c r="AU42" s="12">
        <f t="shared" si="15"/>
        <v>2458.6976066666671</v>
      </c>
      <c r="AV42" s="12">
        <f t="shared" si="15"/>
        <v>1304.0489066666669</v>
      </c>
      <c r="AW42" s="12">
        <f t="shared" si="15"/>
        <v>1817.226106666667</v>
      </c>
      <c r="AX42" s="12">
        <f t="shared" si="15"/>
        <v>2330.403306666667</v>
      </c>
      <c r="AY42" s="12">
        <f t="shared" si="15"/>
        <v>4297.5825733333331</v>
      </c>
      <c r="AZ42" s="12">
        <f t="shared" si="15"/>
        <v>5580.5255733333333</v>
      </c>
      <c r="BA42" s="12">
        <f t="shared" si="15"/>
        <v>6435.8209066666677</v>
      </c>
      <c r="BB42" s="12">
        <f t="shared" si="15"/>
        <v>6863.4685733333345</v>
      </c>
      <c r="BC42" s="12">
        <f t="shared" si="15"/>
        <v>9001.7069066666681</v>
      </c>
      <c r="BD42" s="12">
        <f t="shared" si="15"/>
        <v>11567.592906666667</v>
      </c>
      <c r="BE42" s="203">
        <f t="shared" si="15"/>
        <v>17982.307906666669</v>
      </c>
      <c r="BG42" s="14" t="s">
        <v>290</v>
      </c>
    </row>
    <row r="43" spans="1:59" ht="13.5">
      <c r="A43" s="207" t="s">
        <v>121</v>
      </c>
      <c r="B43" s="44" t="s">
        <v>6</v>
      </c>
      <c r="C43" s="12">
        <f t="shared" ref="C43:S43" si="16">(C41/C8)*1.2</f>
        <v>7.8748648850955911</v>
      </c>
      <c r="D43" s="12">
        <f t="shared" si="16"/>
        <v>5.1891569801508703</v>
      </c>
      <c r="E43" s="12">
        <f t="shared" si="16"/>
        <v>4.1524897438295634</v>
      </c>
      <c r="F43" s="12">
        <f t="shared" si="16"/>
        <v>6.0261332405604211</v>
      </c>
      <c r="G43" s="12">
        <f t="shared" si="16"/>
        <v>5.2052971611346273</v>
      </c>
      <c r="H43" s="12">
        <f t="shared" si="16"/>
        <v>3.6517171547407674</v>
      </c>
      <c r="I43" s="12">
        <f t="shared" si="16"/>
        <v>3.0691387047204066</v>
      </c>
      <c r="J43" s="12">
        <f t="shared" si="16"/>
        <v>1.1999907242365202</v>
      </c>
      <c r="K43" s="12">
        <f t="shared" si="16"/>
        <v>0.89542979634886222</v>
      </c>
      <c r="L43" s="12">
        <f t="shared" si="16"/>
        <v>0.74396699712471215</v>
      </c>
      <c r="M43" s="12">
        <f t="shared" si="16"/>
        <v>0.99989871389955054</v>
      </c>
      <c r="N43" s="12">
        <f t="shared" si="16"/>
        <v>0.74909620726395176</v>
      </c>
      <c r="O43" s="12">
        <f t="shared" si="16"/>
        <v>0.66243423788707045</v>
      </c>
      <c r="P43" s="12">
        <f t="shared" si="16"/>
        <v>0.82208067491341297</v>
      </c>
      <c r="Q43" s="12">
        <f t="shared" si="16"/>
        <v>0.70564119080071408</v>
      </c>
      <c r="R43" s="12">
        <f t="shared" si="16"/>
        <v>0.57161108875142497</v>
      </c>
      <c r="S43" s="12">
        <f t="shared" si="16"/>
        <v>0.4930251091400869</v>
      </c>
      <c r="T43" s="12">
        <f t="shared" ref="T43:BD43" si="17">(T41/T8)*1.2</f>
        <v>1.8460708792854754</v>
      </c>
      <c r="U43" s="12">
        <f t="shared" si="17"/>
        <v>1.9469329135764013</v>
      </c>
      <c r="V43" s="12">
        <f t="shared" si="17"/>
        <v>1.0826502118859354</v>
      </c>
      <c r="W43" s="12">
        <f t="shared" si="17"/>
        <v>0.84071392529532474</v>
      </c>
      <c r="X43" s="12">
        <f t="shared" si="17"/>
        <v>0.78182551569088299</v>
      </c>
      <c r="Y43" s="12">
        <f t="shared" si="17"/>
        <v>1.0850334762705727</v>
      </c>
      <c r="Z43" s="12">
        <f t="shared" si="17"/>
        <v>0.92574942380081893</v>
      </c>
      <c r="AA43" s="12">
        <f t="shared" si="17"/>
        <v>1.2503114297144835</v>
      </c>
      <c r="AB43" s="12">
        <f t="shared" si="17"/>
        <v>1.0123467337779379</v>
      </c>
      <c r="AC43" s="12">
        <f t="shared" si="17"/>
        <v>0.87300286240820579</v>
      </c>
      <c r="AD43" s="12">
        <f t="shared" si="17"/>
        <v>0.90738739656183587</v>
      </c>
      <c r="AE43" s="12">
        <f t="shared" si="17"/>
        <v>0.71603702780499923</v>
      </c>
      <c r="AF43" s="12">
        <f t="shared" si="17"/>
        <v>0.60976227142737804</v>
      </c>
      <c r="AG43" s="12">
        <f t="shared" si="17"/>
        <v>0.83890897818210874</v>
      </c>
      <c r="AH43" s="12">
        <f t="shared" si="17"/>
        <v>0.97476225483512202</v>
      </c>
      <c r="AI43" s="12">
        <f t="shared" si="17"/>
        <v>0.79185788773347754</v>
      </c>
      <c r="AJ43" s="12">
        <f t="shared" si="17"/>
        <v>0.6840179214292913</v>
      </c>
      <c r="AK43" s="12">
        <f t="shared" si="17"/>
        <v>1.8809505136783131</v>
      </c>
      <c r="AL43" s="12">
        <f t="shared" si="17"/>
        <v>0.61632321395682432</v>
      </c>
      <c r="AM43" s="12">
        <f t="shared" si="17"/>
        <v>0.52105442343962682</v>
      </c>
      <c r="AN43" s="12">
        <f t="shared" si="17"/>
        <v>0.81935260971579693</v>
      </c>
      <c r="AO43" s="12">
        <f t="shared" si="17"/>
        <v>1.1437806790460998</v>
      </c>
      <c r="AP43" s="12">
        <f t="shared" si="17"/>
        <v>1.9326523626234142</v>
      </c>
      <c r="AQ43" s="12">
        <f t="shared" si="17"/>
        <v>1.5080387583987906</v>
      </c>
      <c r="AR43" s="12">
        <f t="shared" si="17"/>
        <v>1.2926661157483712</v>
      </c>
      <c r="AS43" s="12">
        <f t="shared" si="17"/>
        <v>2.0760426992051513</v>
      </c>
      <c r="AT43" s="12">
        <f t="shared" si="17"/>
        <v>1.6548316207475489</v>
      </c>
      <c r="AU43" s="12">
        <f t="shared" si="17"/>
        <v>1.4263491026917585</v>
      </c>
      <c r="AV43" s="12">
        <f t="shared" si="17"/>
        <v>1.6647005606663139</v>
      </c>
      <c r="AW43" s="12">
        <f t="shared" si="17"/>
        <v>1.3030199455391573</v>
      </c>
      <c r="AX43" s="12">
        <f t="shared" si="17"/>
        <v>1.1085702203044234</v>
      </c>
      <c r="AY43" s="12">
        <f t="shared" si="17"/>
        <v>1.5369268752279583</v>
      </c>
      <c r="AZ43" s="12">
        <f t="shared" si="17"/>
        <v>1.7571346121421159</v>
      </c>
      <c r="BA43" s="12">
        <f t="shared" si="17"/>
        <v>1.8843714197715706</v>
      </c>
      <c r="BB43" s="12">
        <f t="shared" si="17"/>
        <v>3.1455160835388463</v>
      </c>
      <c r="BC43" s="12">
        <f t="shared" si="17"/>
        <v>2.3848812167463338</v>
      </c>
      <c r="BD43" s="12">
        <f t="shared" si="17"/>
        <v>2.0641467775771543</v>
      </c>
      <c r="BE43" s="203">
        <f>(BE41/BE8)*1.2</f>
        <v>1.8414236519313778</v>
      </c>
      <c r="BG43" s="14" t="s">
        <v>289</v>
      </c>
    </row>
    <row r="44" spans="1:59" ht="13.5">
      <c r="A44" s="207" t="s">
        <v>123</v>
      </c>
      <c r="B44" s="12" t="s">
        <v>6</v>
      </c>
      <c r="C44" s="12">
        <f>(C42/C8)*1.2</f>
        <v>28.793925769230775</v>
      </c>
      <c r="D44" s="12">
        <f t="shared" ref="D44:N44" si="18">(D42/D8)*1.2</f>
        <v>19.237290186335407</v>
      </c>
      <c r="E44" s="12">
        <f t="shared" si="18"/>
        <v>15.706071884057973</v>
      </c>
      <c r="F44" s="12">
        <f t="shared" si="18"/>
        <v>25.766839285714287</v>
      </c>
      <c r="G44" s="12">
        <f t="shared" si="18"/>
        <v>23.9370647887324</v>
      </c>
      <c r="H44" s="12">
        <f t="shared" si="18"/>
        <v>17.536787500000003</v>
      </c>
      <c r="I44" s="12">
        <f t="shared" si="18"/>
        <v>15.918768345323743</v>
      </c>
      <c r="J44" s="12">
        <f t="shared" si="18"/>
        <v>6.4426158558558564</v>
      </c>
      <c r="K44" s="12">
        <f t="shared" si="18"/>
        <v>5.267172848484849</v>
      </c>
      <c r="L44" s="12">
        <f t="shared" si="18"/>
        <v>4.8394342342342354</v>
      </c>
      <c r="M44" s="12">
        <f t="shared" si="18"/>
        <v>6.3542650931677018</v>
      </c>
      <c r="N44" s="12">
        <f t="shared" si="18"/>
        <v>5.2986554037267091</v>
      </c>
      <c r="O44" s="12">
        <f>(O42/O8)*1.2</f>
        <v>5.516315323076924</v>
      </c>
      <c r="P44" s="12">
        <f>(P42/P8)*1.2</f>
        <v>8.5428996363636376</v>
      </c>
      <c r="Q44" s="12">
        <f>(Q42/Q8)*1.2</f>
        <v>5.8761143231727306</v>
      </c>
      <c r="R44" s="12">
        <f>(R42/R8)*1.2</f>
        <v>5.9400692793931746</v>
      </c>
      <c r="S44" s="12">
        <f>(S42/S8)*1.2</f>
        <v>5.9703637323396999</v>
      </c>
      <c r="T44" s="12">
        <f t="shared" ref="T44:BE44" si="19">(T42/T8)*1.2</f>
        <v>15.795316000000005</v>
      </c>
      <c r="U44" s="12">
        <f t="shared" si="19"/>
        <v>18.922560307692311</v>
      </c>
      <c r="V44" s="12">
        <f t="shared" si="19"/>
        <v>13.947803136000005</v>
      </c>
      <c r="W44" s="12">
        <f t="shared" si="19"/>
        <v>12.581527474402733</v>
      </c>
      <c r="X44" s="12">
        <f t="shared" si="19"/>
        <v>13.570453797576382</v>
      </c>
      <c r="Y44" s="12">
        <f t="shared" si="19"/>
        <v>25.947899331390364</v>
      </c>
      <c r="Z44" s="12">
        <f t="shared" si="19"/>
        <v>21.377356484848491</v>
      </c>
      <c r="AA44" s="12">
        <f t="shared" si="19"/>
        <v>15.781956419760462</v>
      </c>
      <c r="AB44" s="12">
        <f t="shared" si="19"/>
        <v>15.463376696490023</v>
      </c>
      <c r="AC44" s="12">
        <f t="shared" si="19"/>
        <v>15.3040868348548</v>
      </c>
      <c r="AD44" s="12">
        <f t="shared" si="19"/>
        <v>14.153194878587199</v>
      </c>
      <c r="AE44" s="12">
        <f t="shared" si="19"/>
        <v>13.20188717647059</v>
      </c>
      <c r="AF44" s="12">
        <f t="shared" si="19"/>
        <v>12.740804944812366</v>
      </c>
      <c r="AG44" s="12">
        <f t="shared" si="19"/>
        <v>24.069219955849896</v>
      </c>
      <c r="AH44" s="12">
        <f t="shared" si="19"/>
        <v>15.712651501854682</v>
      </c>
      <c r="AI44" s="12">
        <f t="shared" si="19"/>
        <v>15.519019330600861</v>
      </c>
      <c r="AJ44" s="12">
        <f t="shared" si="19"/>
        <v>15.422203244973948</v>
      </c>
      <c r="AK44" s="12">
        <f t="shared" si="19"/>
        <v>16.513002975206614</v>
      </c>
      <c r="AL44" s="12">
        <f t="shared" si="19"/>
        <v>9.9878472234242057</v>
      </c>
      <c r="AM44" s="12">
        <f t="shared" si="19"/>
        <v>10.13847945677511</v>
      </c>
      <c r="AN44" s="12">
        <f t="shared" si="19"/>
        <v>17.862048713940602</v>
      </c>
      <c r="AO44" s="12">
        <f t="shared" si="19"/>
        <v>33.578040705882358</v>
      </c>
      <c r="AP44" s="12">
        <f t="shared" si="19"/>
        <v>46.992753393393407</v>
      </c>
      <c r="AQ44" s="12">
        <f t="shared" si="19"/>
        <v>43.26728825396826</v>
      </c>
      <c r="AR44" s="12">
        <f t="shared" si="19"/>
        <v>41.989248768768775</v>
      </c>
      <c r="AS44" s="12">
        <f t="shared" si="19"/>
        <v>50.479312516129042</v>
      </c>
      <c r="AT44" s="12">
        <f t="shared" si="19"/>
        <v>48.580995063829803</v>
      </c>
      <c r="AU44" s="12">
        <f t="shared" si="19"/>
        <v>47.587695612903232</v>
      </c>
      <c r="AV44" s="12">
        <f t="shared" si="19"/>
        <v>40.477462183135032</v>
      </c>
      <c r="AW44" s="12">
        <f t="shared" si="19"/>
        <v>37.385073341333793</v>
      </c>
      <c r="AX44" s="12">
        <f t="shared" si="19"/>
        <v>36.009322276590268</v>
      </c>
      <c r="AY44" s="12">
        <f t="shared" si="19"/>
        <v>67.767399316688568</v>
      </c>
      <c r="AZ44" s="12">
        <f t="shared" si="19"/>
        <v>88.276175692064314</v>
      </c>
      <c r="BA44" s="12">
        <f t="shared" si="19"/>
        <v>101.65835313939714</v>
      </c>
      <c r="BB44" s="12">
        <f t="shared" si="19"/>
        <v>175.23749548936172</v>
      </c>
      <c r="BC44" s="12">
        <f t="shared" si="19"/>
        <v>152.14152518309859</v>
      </c>
      <c r="BD44" s="12">
        <f t="shared" si="19"/>
        <v>149.25926331182794</v>
      </c>
      <c r="BE44" s="203">
        <f t="shared" si="19"/>
        <v>165.99053452307695</v>
      </c>
      <c r="BG44" s="14" t="s">
        <v>285</v>
      </c>
    </row>
    <row r="45" spans="1:59" ht="15">
      <c r="A45" s="207" t="s">
        <v>119</v>
      </c>
      <c r="B45" s="224" t="s">
        <v>243</v>
      </c>
      <c r="C45" s="224">
        <f>ROUND((C43/C5)^2,2)</f>
        <v>790.99</v>
      </c>
      <c r="D45" s="224">
        <f t="shared" ref="D45:N45" si="20">ROUND((D43/D5)^2,2)</f>
        <v>343.46</v>
      </c>
      <c r="E45" s="224">
        <f t="shared" si="20"/>
        <v>219.94</v>
      </c>
      <c r="F45" s="224">
        <f t="shared" si="20"/>
        <v>115.8</v>
      </c>
      <c r="G45" s="224">
        <f t="shared" si="20"/>
        <v>38.4</v>
      </c>
      <c r="H45" s="224">
        <f t="shared" si="20"/>
        <v>18.899999999999999</v>
      </c>
      <c r="I45" s="224">
        <f t="shared" si="20"/>
        <v>13.35</v>
      </c>
      <c r="J45" s="224">
        <f t="shared" si="20"/>
        <v>9</v>
      </c>
      <c r="K45" s="224">
        <f t="shared" si="20"/>
        <v>5.01</v>
      </c>
      <c r="L45" s="224">
        <f t="shared" si="20"/>
        <v>3.46</v>
      </c>
      <c r="M45" s="224">
        <f t="shared" si="20"/>
        <v>2.6</v>
      </c>
      <c r="N45" s="224">
        <f t="shared" si="20"/>
        <v>1.46</v>
      </c>
      <c r="O45" s="224">
        <f>ROUND((O43/O5)^2,2)</f>
        <v>1.1399999999999999</v>
      </c>
      <c r="P45" s="224">
        <f>ROUND((P43/P5)^2,2)</f>
        <v>2.6</v>
      </c>
      <c r="Q45" s="224">
        <f>ROUND((Q43/Q5)^2,2)</f>
        <v>1.43</v>
      </c>
      <c r="R45" s="224">
        <f>ROUND((R43/R5)^2,2)</f>
        <v>0.94</v>
      </c>
      <c r="S45" s="224">
        <f>ROUND((S43/S5)^2,2)</f>
        <v>0.7</v>
      </c>
      <c r="T45" s="224">
        <f t="shared" ref="T45:BE45" si="21">ROUND((T43/T5)^2,2)</f>
        <v>1.74</v>
      </c>
      <c r="U45" s="224">
        <f t="shared" si="21"/>
        <v>2.2400000000000002</v>
      </c>
      <c r="V45" s="224">
        <f t="shared" si="21"/>
        <v>0.72</v>
      </c>
      <c r="W45" s="224">
        <f t="shared" si="21"/>
        <v>0.43</v>
      </c>
      <c r="X45" s="224">
        <f t="shared" si="21"/>
        <v>0.37</v>
      </c>
      <c r="Y45" s="224">
        <f t="shared" si="21"/>
        <v>0.2</v>
      </c>
      <c r="Z45" s="224">
        <f t="shared" si="21"/>
        <v>0.59</v>
      </c>
      <c r="AA45" s="224">
        <f t="shared" si="21"/>
        <v>0.93</v>
      </c>
      <c r="AB45" s="224">
        <f t="shared" si="21"/>
        <v>0.61</v>
      </c>
      <c r="AC45" s="224">
        <f t="shared" si="21"/>
        <v>0.45</v>
      </c>
      <c r="AD45" s="224">
        <f t="shared" si="21"/>
        <v>0.55000000000000004</v>
      </c>
      <c r="AE45" s="224">
        <f t="shared" si="21"/>
        <v>0.37</v>
      </c>
      <c r="AF45" s="224">
        <f t="shared" si="21"/>
        <v>0.28000000000000003</v>
      </c>
      <c r="AG45" s="224">
        <f t="shared" si="21"/>
        <v>0.11</v>
      </c>
      <c r="AH45" s="224">
        <f t="shared" si="21"/>
        <v>0.61</v>
      </c>
      <c r="AI45" s="224">
        <f t="shared" si="21"/>
        <v>0.4</v>
      </c>
      <c r="AJ45" s="224">
        <f t="shared" si="21"/>
        <v>0.3</v>
      </c>
      <c r="AK45" s="224">
        <f t="shared" si="21"/>
        <v>0.92</v>
      </c>
      <c r="AL45" s="224">
        <f t="shared" si="21"/>
        <v>0.17</v>
      </c>
      <c r="AM45" s="224">
        <f t="shared" si="21"/>
        <v>0.12</v>
      </c>
      <c r="AN45" s="224">
        <f t="shared" si="21"/>
        <v>0.09</v>
      </c>
      <c r="AO45" s="224">
        <f t="shared" si="21"/>
        <v>0.18</v>
      </c>
      <c r="AP45" s="224">
        <f t="shared" si="21"/>
        <v>0.42</v>
      </c>
      <c r="AQ45" s="224">
        <f t="shared" si="21"/>
        <v>0.26</v>
      </c>
      <c r="AR45" s="224">
        <f t="shared" si="21"/>
        <v>0.19</v>
      </c>
      <c r="AS45" s="224">
        <f t="shared" si="21"/>
        <v>0.33</v>
      </c>
      <c r="AT45" s="224">
        <f t="shared" si="21"/>
        <v>0.21</v>
      </c>
      <c r="AU45" s="224">
        <f t="shared" si="21"/>
        <v>0.18</v>
      </c>
      <c r="AV45" s="224">
        <f t="shared" si="21"/>
        <v>0.31</v>
      </c>
      <c r="AW45" s="224">
        <f t="shared" si="21"/>
        <v>0.19</v>
      </c>
      <c r="AX45" s="224">
        <f t="shared" si="21"/>
        <v>0.14000000000000001</v>
      </c>
      <c r="AY45" s="224">
        <f t="shared" si="21"/>
        <v>0.16</v>
      </c>
      <c r="AZ45" s="224">
        <f t="shared" si="21"/>
        <v>0.09</v>
      </c>
      <c r="BA45" s="224">
        <f t="shared" si="21"/>
        <v>0.06</v>
      </c>
      <c r="BB45" s="224">
        <f t="shared" si="21"/>
        <v>0.13</v>
      </c>
      <c r="BC45" s="224">
        <f t="shared" si="21"/>
        <v>0.08</v>
      </c>
      <c r="BD45" s="224">
        <f t="shared" si="21"/>
        <v>0.06</v>
      </c>
      <c r="BE45" s="225">
        <f t="shared" si="21"/>
        <v>0.02</v>
      </c>
      <c r="BG45" s="14" t="s">
        <v>286</v>
      </c>
    </row>
    <row r="46" spans="1:59" ht="15">
      <c r="A46" s="207" t="s">
        <v>277</v>
      </c>
      <c r="B46" s="12" t="s">
        <v>4</v>
      </c>
      <c r="C46" s="12">
        <f t="shared" ref="C46:S46" si="22">1.15*SQRT((((C9 * $Q$26)+(C44*C47))^2)+((( 7.695 * $Q$26 * C11 * C44 )/C18)^2))</f>
        <v>127221.24395512012</v>
      </c>
      <c r="D46" s="12">
        <f t="shared" si="22"/>
        <v>55553.767885212466</v>
      </c>
      <c r="E46" s="12">
        <f t="shared" si="22"/>
        <v>38859.306456769547</v>
      </c>
      <c r="F46" s="12">
        <f t="shared" si="22"/>
        <v>16943.303470784696</v>
      </c>
      <c r="G46" s="12">
        <f t="shared" si="22"/>
        <v>2282.9826929502979</v>
      </c>
      <c r="H46" s="12">
        <f t="shared" si="22"/>
        <v>1260.9767803603329</v>
      </c>
      <c r="I46" s="12">
        <f t="shared" si="22"/>
        <v>1120.246791444582</v>
      </c>
      <c r="J46" s="12">
        <f t="shared" si="22"/>
        <v>1354.1569495799852</v>
      </c>
      <c r="K46" s="12">
        <f t="shared" si="22"/>
        <v>1050.8483208674591</v>
      </c>
      <c r="L46" s="12">
        <f t="shared" si="22"/>
        <v>1034.840170206332</v>
      </c>
      <c r="M46" s="12">
        <f t="shared" si="22"/>
        <v>338.77536950704291</v>
      </c>
      <c r="N46" s="12">
        <f t="shared" si="22"/>
        <v>347.47954361791653</v>
      </c>
      <c r="O46" s="12">
        <f t="shared" si="22"/>
        <v>434.09072494887903</v>
      </c>
      <c r="P46" s="12">
        <f t="shared" si="22"/>
        <v>1200.1462390998663</v>
      </c>
      <c r="Q46" s="12">
        <f t="shared" si="22"/>
        <v>337.00843477017241</v>
      </c>
      <c r="R46" s="12">
        <f t="shared" si="22"/>
        <v>448.28322454694978</v>
      </c>
      <c r="S46" s="12">
        <f t="shared" si="22"/>
        <v>548.6317080124021</v>
      </c>
      <c r="T46" s="12">
        <f t="shared" ref="T46:BE46" si="23">1.15*SQRT((((T9 * $Q$26)+(T44*T47))^2)+((( 7.695 * $Q$26 * T11 * T44 )/T18)^2))</f>
        <v>137.20948390639109</v>
      </c>
      <c r="U46" s="12">
        <f t="shared" si="23"/>
        <v>293.59816361329996</v>
      </c>
      <c r="V46" s="12">
        <f t="shared" si="23"/>
        <v>186.63674604855862</v>
      </c>
      <c r="W46" s="12">
        <f t="shared" si="23"/>
        <v>240.03501505886462</v>
      </c>
      <c r="X46" s="12">
        <f t="shared" si="23"/>
        <v>315.18682263820762</v>
      </c>
      <c r="Y46" s="12">
        <f t="shared" si="23"/>
        <v>286.00718049441787</v>
      </c>
      <c r="Z46" s="12">
        <f t="shared" si="23"/>
        <v>736.21069437039057</v>
      </c>
      <c r="AA46" s="12">
        <f t="shared" si="23"/>
        <v>232.5052884038376</v>
      </c>
      <c r="AB46" s="12">
        <f t="shared" si="23"/>
        <v>311.69432560661221</v>
      </c>
      <c r="AC46" s="12">
        <f t="shared" si="23"/>
        <v>392.01405378237706</v>
      </c>
      <c r="AD46" s="12">
        <f t="shared" si="23"/>
        <v>254.61095828237174</v>
      </c>
      <c r="AE46" s="12">
        <f t="shared" si="23"/>
        <v>348.77334129568845</v>
      </c>
      <c r="AF46" s="12">
        <f t="shared" si="23"/>
        <v>442.89000052813481</v>
      </c>
      <c r="AG46" s="12">
        <f t="shared" si="23"/>
        <v>398.23670939749098</v>
      </c>
      <c r="AH46" s="12">
        <f t="shared" si="23"/>
        <v>295.30151598310078</v>
      </c>
      <c r="AI46" s="12">
        <f t="shared" si="23"/>
        <v>410.48353720505071</v>
      </c>
      <c r="AJ46" s="12">
        <f t="shared" si="23"/>
        <v>526.28714692604319</v>
      </c>
      <c r="AK46" s="12">
        <f t="shared" si="23"/>
        <v>79.838191007986111</v>
      </c>
      <c r="AL46" s="12">
        <f t="shared" si="23"/>
        <v>217.07954705727025</v>
      </c>
      <c r="AM46" s="12">
        <f t="shared" si="23"/>
        <v>315.29856894612931</v>
      </c>
      <c r="AN46" s="12">
        <f t="shared" si="23"/>
        <v>194.70407873738358</v>
      </c>
      <c r="AO46" s="12">
        <f t="shared" si="23"/>
        <v>350.43887671537601</v>
      </c>
      <c r="AP46" s="12">
        <f t="shared" si="23"/>
        <v>197.64623101299134</v>
      </c>
      <c r="AQ46" s="12">
        <f t="shared" si="23"/>
        <v>252.93688068046032</v>
      </c>
      <c r="AR46" s="12">
        <f t="shared" si="23"/>
        <v>321.27900688977417</v>
      </c>
      <c r="AS46" s="12">
        <f t="shared" si="23"/>
        <v>216.25741450789519</v>
      </c>
      <c r="AT46" s="12">
        <f t="shared" si="23"/>
        <v>305.65125862998349</v>
      </c>
      <c r="AU46" s="12">
        <f t="shared" si="23"/>
        <v>391.33953637519693</v>
      </c>
      <c r="AV46" s="12">
        <f t="shared" si="23"/>
        <v>170.65154345285887</v>
      </c>
      <c r="AW46" s="12">
        <f t="shared" si="23"/>
        <v>222.84013371736285</v>
      </c>
      <c r="AX46" s="12">
        <f t="shared" si="23"/>
        <v>283.56464258105854</v>
      </c>
      <c r="AY46" s="12">
        <f t="shared" si="23"/>
        <v>444.04582535210403</v>
      </c>
      <c r="AZ46" s="12">
        <f t="shared" si="23"/>
        <v>424.3875463398611</v>
      </c>
      <c r="BA46" s="12">
        <f t="shared" si="23"/>
        <v>332.32901409864252</v>
      </c>
      <c r="BB46" s="12">
        <f t="shared" si="23"/>
        <v>276.08094483017487</v>
      </c>
      <c r="BC46" s="12">
        <f t="shared" si="23"/>
        <v>368.67801175098998</v>
      </c>
      <c r="BD46" s="12">
        <f t="shared" si="23"/>
        <v>466.06453362976333</v>
      </c>
      <c r="BE46" s="203">
        <f t="shared" si="23"/>
        <v>399.56389210840274</v>
      </c>
      <c r="BG46" s="14" t="s">
        <v>288</v>
      </c>
    </row>
    <row r="47" spans="1:59" s="223" customFormat="1" ht="13.5" customHeight="1">
      <c r="A47" s="207" t="s">
        <v>169</v>
      </c>
      <c r="B47" s="12"/>
      <c r="C47" s="12">
        <f>((C48+$G$30)*0.00393+1)*C10</f>
        <v>3842.0120042121275</v>
      </c>
      <c r="D47" s="12">
        <f t="shared" ref="D47:N47" si="24">((D48+$G$30)*0.00393+1)*D10</f>
        <v>2511.100018007412</v>
      </c>
      <c r="E47" s="12">
        <f t="shared" si="24"/>
        <v>2151.3715400819046</v>
      </c>
      <c r="F47" s="12">
        <f t="shared" si="24"/>
        <v>571.75848948659825</v>
      </c>
      <c r="G47" s="12">
        <f t="shared" si="24"/>
        <v>82.886307735200361</v>
      </c>
      <c r="H47" s="12">
        <f t="shared" si="24"/>
        <v>62.426865046017575</v>
      </c>
      <c r="I47" s="12">
        <f t="shared" si="24"/>
        <v>61.051682162942782</v>
      </c>
      <c r="J47" s="12">
        <f t="shared" si="24"/>
        <v>181.82729552117846</v>
      </c>
      <c r="K47" s="12">
        <f t="shared" si="24"/>
        <v>171.75465612255178</v>
      </c>
      <c r="L47" s="12">
        <f t="shared" si="24"/>
        <v>183.39604828037253</v>
      </c>
      <c r="M47" s="12">
        <f t="shared" si="24"/>
        <v>44.978443499971306</v>
      </c>
      <c r="N47" s="12">
        <f t="shared" si="24"/>
        <v>54.542127125023164</v>
      </c>
      <c r="O47" s="12">
        <f>((O48+$G$30)*0.00393+1)*O10</f>
        <v>65.20930599075858</v>
      </c>
      <c r="P47" s="12">
        <f>((P48+$G$30)*0.00393+1)*P10</f>
        <v>120.0020103829963</v>
      </c>
      <c r="Q47" s="12">
        <f>((Q48+$G$30)*0.00393+1)*Q10</f>
        <v>46.994287389657245</v>
      </c>
      <c r="R47" s="12">
        <f>((R48+$G$30)*0.00393+1)*R10</f>
        <v>61.177146811592046</v>
      </c>
      <c r="S47" s="12">
        <f>((S48+$G$30)*0.00393+1)*S10</f>
        <v>73.876642963119878</v>
      </c>
      <c r="T47" s="12">
        <f t="shared" ref="T47:BE47" si="25">((T48+$G$30)*0.00393+1)*T10</f>
        <v>7.0787109212455777</v>
      </c>
      <c r="U47" s="12">
        <f t="shared" si="25"/>
        <v>12.921645280947615</v>
      </c>
      <c r="V47" s="12">
        <f t="shared" si="25"/>
        <v>10.36348917612796</v>
      </c>
      <c r="W47" s="12">
        <f t="shared" si="25"/>
        <v>14.475756329949201</v>
      </c>
      <c r="X47" s="12">
        <f t="shared" si="25"/>
        <v>17.726994680456695</v>
      </c>
      <c r="Y47" s="12">
        <f t="shared" si="25"/>
        <v>8.2980159014138337</v>
      </c>
      <c r="Z47" s="12">
        <f t="shared" si="25"/>
        <v>27.999341039111123</v>
      </c>
      <c r="AA47" s="12">
        <f t="shared" si="25"/>
        <v>11.853115864552398</v>
      </c>
      <c r="AB47" s="12">
        <f t="shared" si="25"/>
        <v>16.054599744104497</v>
      </c>
      <c r="AC47" s="12">
        <f t="shared" si="25"/>
        <v>20.283869677433021</v>
      </c>
      <c r="AD47" s="12">
        <f t="shared" si="25"/>
        <v>13.839391104327762</v>
      </c>
      <c r="AE47" s="12">
        <f t="shared" si="25"/>
        <v>20.070951788826566</v>
      </c>
      <c r="AF47" s="12">
        <f t="shared" si="25"/>
        <v>26.234684815507642</v>
      </c>
      <c r="AG47" s="12">
        <f t="shared" si="25"/>
        <v>12.274642422970443</v>
      </c>
      <c r="AH47" s="12">
        <f t="shared" si="25"/>
        <v>14.799684243294115</v>
      </c>
      <c r="AI47" s="12">
        <f t="shared" si="25"/>
        <v>20.652108526558731</v>
      </c>
      <c r="AJ47" s="12">
        <f t="shared" si="25"/>
        <v>26.519875789930484</v>
      </c>
      <c r="AK47" s="12">
        <f t="shared" si="25"/>
        <v>3.7713019410157895</v>
      </c>
      <c r="AL47" s="12">
        <f t="shared" si="25"/>
        <v>15.066199185170062</v>
      </c>
      <c r="AM47" s="12">
        <f t="shared" si="25"/>
        <v>21.641825130562907</v>
      </c>
      <c r="AN47" s="12">
        <f t="shared" si="25"/>
        <v>7.3119322170016812</v>
      </c>
      <c r="AO47" s="12">
        <f t="shared" si="25"/>
        <v>7.8959331423426891</v>
      </c>
      <c r="AP47" s="12">
        <f t="shared" si="25"/>
        <v>3.2453046254446987</v>
      </c>
      <c r="AQ47" s="12">
        <f t="shared" si="25"/>
        <v>4.4116425051598709</v>
      </c>
      <c r="AR47" s="12">
        <f t="shared" si="25"/>
        <v>5.7283503284241668</v>
      </c>
      <c r="AS47" s="12">
        <f t="shared" si="25"/>
        <v>3.3700887215007249</v>
      </c>
      <c r="AT47" s="12">
        <f t="shared" si="25"/>
        <v>4.8823359567876494</v>
      </c>
      <c r="AU47" s="12">
        <f t="shared" si="25"/>
        <v>6.3712151686907239</v>
      </c>
      <c r="AV47" s="12">
        <f t="shared" si="25"/>
        <v>3.118271308116638</v>
      </c>
      <c r="AW47" s="12">
        <f t="shared" si="25"/>
        <v>4.3014034779088295</v>
      </c>
      <c r="AX47" s="12">
        <f t="shared" si="25"/>
        <v>5.6156073531482678</v>
      </c>
      <c r="AY47" s="12">
        <f t="shared" si="25"/>
        <v>4.7919895599086253</v>
      </c>
      <c r="AZ47" s="12">
        <f t="shared" si="25"/>
        <v>3.4969838422333348</v>
      </c>
      <c r="BA47" s="12">
        <f t="shared" si="25"/>
        <v>2.2972632283560936</v>
      </c>
      <c r="BB47" s="12">
        <f t="shared" si="25"/>
        <v>1.1827802976215398</v>
      </c>
      <c r="BC47" s="12">
        <f t="shared" si="25"/>
        <v>1.7915438462125992</v>
      </c>
      <c r="BD47" s="12">
        <f t="shared" si="25"/>
        <v>2.2999605643442664</v>
      </c>
      <c r="BE47" s="203">
        <f t="shared" si="25"/>
        <v>1.6481561411599075</v>
      </c>
      <c r="BG47" s="223" t="s">
        <v>295</v>
      </c>
    </row>
    <row r="48" spans="1:59" ht="15">
      <c r="A48" s="207" t="s">
        <v>226</v>
      </c>
      <c r="B48" s="98" t="s">
        <v>99</v>
      </c>
      <c r="C48" s="12">
        <f>(C43^2*C10)*C12</f>
        <v>87027.261091696826</v>
      </c>
      <c r="D48" s="12">
        <f t="shared" ref="D48:N48" si="26">(D43^2*D10)*D12</f>
        <v>37773.686810968917</v>
      </c>
      <c r="E48" s="12">
        <f t="shared" si="26"/>
        <v>24179.06420485624</v>
      </c>
      <c r="F48" s="12">
        <f t="shared" si="26"/>
        <v>12730.334639372008</v>
      </c>
      <c r="G48" s="12">
        <f t="shared" si="26"/>
        <v>4227.9222963131579</v>
      </c>
      <c r="H48" s="12">
        <f t="shared" si="26"/>
        <v>2076.5321451136647</v>
      </c>
      <c r="I48" s="12">
        <f t="shared" si="26"/>
        <v>1466.6336489381615</v>
      </c>
      <c r="J48" s="12">
        <f t="shared" si="26"/>
        <v>990.99267946618829</v>
      </c>
      <c r="K48" s="12">
        <f t="shared" si="26"/>
        <v>549.87068194586641</v>
      </c>
      <c r="L48" s="12">
        <f t="shared" si="26"/>
        <v>379.80270584674452</v>
      </c>
      <c r="M48" s="12">
        <f t="shared" si="26"/>
        <v>285.54214830935774</v>
      </c>
      <c r="N48" s="12">
        <f t="shared" si="26"/>
        <v>161.10476617336084</v>
      </c>
      <c r="O48" s="12">
        <f>(O43^2*O10)*O12</f>
        <v>126.42378833515937</v>
      </c>
      <c r="P48" s="12">
        <f>(P43^2*P10)*P12</f>
        <v>285.81247902124812</v>
      </c>
      <c r="Q48" s="12">
        <f>(Q43^2*Q10)*Q12</f>
        <v>157.19634004182291</v>
      </c>
      <c r="R48" s="12">
        <f>(R43^2*R10)*R12</f>
        <v>102.56344642636871</v>
      </c>
      <c r="S48" s="12">
        <f>(S43^2*S10)*S12</f>
        <v>76.227930584877669</v>
      </c>
      <c r="T48" s="12">
        <f t="shared" ref="T48:BE48" si="27">(T43^2*T10)*T12</f>
        <v>190.84675071536751</v>
      </c>
      <c r="U48" s="12">
        <f t="shared" si="27"/>
        <v>246.38560504786116</v>
      </c>
      <c r="V48" s="12">
        <f t="shared" si="27"/>
        <v>78.626579765380001</v>
      </c>
      <c r="W48" s="12">
        <f t="shared" si="27"/>
        <v>47.496953561263773</v>
      </c>
      <c r="X48" s="12">
        <f t="shared" si="27"/>
        <v>41.259451746508766</v>
      </c>
      <c r="Y48" s="12">
        <f t="shared" si="27"/>
        <v>22.074330836771313</v>
      </c>
      <c r="Z48" s="12">
        <f t="shared" si="27"/>
        <v>64.388631032976221</v>
      </c>
      <c r="AA48" s="12">
        <f t="shared" si="27"/>
        <v>101.75186617764163</v>
      </c>
      <c r="AB48" s="12">
        <f t="shared" si="27"/>
        <v>66.705946765085514</v>
      </c>
      <c r="AC48" s="12">
        <f t="shared" si="27"/>
        <v>49.606354884627976</v>
      </c>
      <c r="AD48" s="12">
        <f t="shared" si="27"/>
        <v>60.681034104273927</v>
      </c>
      <c r="AE48" s="12">
        <f t="shared" si="27"/>
        <v>40.965451112506599</v>
      </c>
      <c r="AF48" s="12">
        <f t="shared" si="27"/>
        <v>30.785870289939609</v>
      </c>
      <c r="AG48" s="12">
        <f t="shared" si="27"/>
        <v>12.140002720885986</v>
      </c>
      <c r="AH48" s="12">
        <f t="shared" si="27"/>
        <v>66.891366322968025</v>
      </c>
      <c r="AI48" s="12">
        <f t="shared" si="27"/>
        <v>44.143539571346963</v>
      </c>
      <c r="AJ48" s="12">
        <f t="shared" si="27"/>
        <v>32.938788385285903</v>
      </c>
      <c r="AK48" s="12">
        <f t="shared" si="27"/>
        <v>101.30602661384272</v>
      </c>
      <c r="AL48" s="12">
        <f t="shared" si="27"/>
        <v>18.346962886197954</v>
      </c>
      <c r="AM48" s="12">
        <f t="shared" si="27"/>
        <v>13.162209086777372</v>
      </c>
      <c r="AN48" s="12">
        <f t="shared" si="27"/>
        <v>10.190921451549963</v>
      </c>
      <c r="AO48" s="12">
        <f t="shared" si="27"/>
        <v>19.594753404816529</v>
      </c>
      <c r="AP48" s="12">
        <f t="shared" si="27"/>
        <v>46.390502822043004</v>
      </c>
      <c r="AQ48" s="12">
        <f t="shared" si="27"/>
        <v>28.381777592475416</v>
      </c>
      <c r="AR48" s="12">
        <f t="shared" si="27"/>
        <v>20.853901371313686</v>
      </c>
      <c r="AS48" s="12">
        <f t="shared" si="27"/>
        <v>36.246707159842515</v>
      </c>
      <c r="AT48" s="12">
        <f t="shared" si="27"/>
        <v>22.893589913697021</v>
      </c>
      <c r="AU48" s="12">
        <f t="shared" si="27"/>
        <v>20.059891580710907</v>
      </c>
      <c r="AV48" s="12">
        <f t="shared" si="27"/>
        <v>34.418651221999632</v>
      </c>
      <c r="AW48" s="12">
        <f t="shared" si="27"/>
        <v>21.189305011341403</v>
      </c>
      <c r="AX48" s="12">
        <f t="shared" si="27"/>
        <v>15.337020608155557</v>
      </c>
      <c r="AY48" s="12">
        <f t="shared" si="27"/>
        <v>17.668838764088861</v>
      </c>
      <c r="AZ48" s="12">
        <f t="shared" si="27"/>
        <v>10.188822749119819</v>
      </c>
      <c r="BA48" s="12">
        <f t="shared" si="27"/>
        <v>6.2495059398673884</v>
      </c>
      <c r="BB48" s="12">
        <f t="shared" si="27"/>
        <v>14.148808147476235</v>
      </c>
      <c r="BC48" s="12">
        <f t="shared" si="27"/>
        <v>8.7021173795238944</v>
      </c>
      <c r="BD48" s="12">
        <f t="shared" si="27"/>
        <v>6.5614809558485119</v>
      </c>
      <c r="BE48" s="203">
        <f t="shared" si="27"/>
        <v>2.6584193956595574</v>
      </c>
      <c r="BG48" s="14" t="s">
        <v>287</v>
      </c>
    </row>
    <row r="49" spans="1:59">
      <c r="A49" s="207" t="s">
        <v>248</v>
      </c>
      <c r="B49" s="12" t="s">
        <v>6</v>
      </c>
      <c r="C49" s="12">
        <f t="shared" ref="C49:S49" si="28">IF($D$26/C47&lt;$D$27,$D$26/C47,$D$27)</f>
        <v>6.2467269684967117E-2</v>
      </c>
      <c r="D49" s="12">
        <f t="shared" si="28"/>
        <v>9.557564345463343E-2</v>
      </c>
      <c r="E49" s="12">
        <f t="shared" si="28"/>
        <v>0.11155674207294895</v>
      </c>
      <c r="F49" s="12">
        <f t="shared" si="28"/>
        <v>0.41975765014963629</v>
      </c>
      <c r="G49" s="12">
        <f t="shared" si="28"/>
        <v>2.89553252591171</v>
      </c>
      <c r="H49" s="12">
        <f t="shared" si="28"/>
        <v>3.8444986757397714</v>
      </c>
      <c r="I49" s="12">
        <f t="shared" si="28"/>
        <v>3.9310956143592626</v>
      </c>
      <c r="J49" s="12">
        <f t="shared" si="28"/>
        <v>1.3199338378326473</v>
      </c>
      <c r="K49" s="12">
        <f t="shared" si="28"/>
        <v>1.3973420308835951</v>
      </c>
      <c r="L49" s="12">
        <f t="shared" si="28"/>
        <v>1.3086432464078637</v>
      </c>
      <c r="M49" s="12">
        <f t="shared" si="28"/>
        <v>5.3358894022233807</v>
      </c>
      <c r="N49" s="12">
        <f t="shared" si="28"/>
        <v>4.4002684282896505</v>
      </c>
      <c r="O49" s="12">
        <f t="shared" si="28"/>
        <v>3.6804562838625001</v>
      </c>
      <c r="P49" s="12">
        <f t="shared" si="28"/>
        <v>1.9999664941780577</v>
      </c>
      <c r="Q49" s="12">
        <f t="shared" si="28"/>
        <v>5.1070037089831581</v>
      </c>
      <c r="R49" s="12">
        <f t="shared" si="28"/>
        <v>3.9230335592330046</v>
      </c>
      <c r="S49" s="12">
        <f t="shared" si="28"/>
        <v>3.2486587150394874</v>
      </c>
      <c r="T49" s="12">
        <f t="shared" ref="T49:BD49" si="29">IF($D$26/T47&lt;$D$27,$D$26/T47,$D$27)</f>
        <v>33.904478183969879</v>
      </c>
      <c r="U49" s="12">
        <f t="shared" si="29"/>
        <v>18.5734861762433</v>
      </c>
      <c r="V49" s="12">
        <f t="shared" si="29"/>
        <v>23.158223636961385</v>
      </c>
      <c r="W49" s="12">
        <f t="shared" si="29"/>
        <v>16.579444592021687</v>
      </c>
      <c r="X49" s="12">
        <f t="shared" si="29"/>
        <v>13.53867388839409</v>
      </c>
      <c r="Y49" s="12">
        <f t="shared" si="29"/>
        <v>28.922576535326751</v>
      </c>
      <c r="Z49" s="12">
        <f t="shared" si="29"/>
        <v>8.5716302988971744</v>
      </c>
      <c r="AA49" s="12">
        <f t="shared" si="29"/>
        <v>20.247840546107998</v>
      </c>
      <c r="AB49" s="12">
        <f t="shared" si="29"/>
        <v>14.948986821557591</v>
      </c>
      <c r="AC49" s="12">
        <f t="shared" si="29"/>
        <v>11.832061821370006</v>
      </c>
      <c r="AD49" s="12">
        <f t="shared" si="29"/>
        <v>17.341803421174276</v>
      </c>
      <c r="AE49" s="12">
        <f t="shared" si="29"/>
        <v>11.95757941751458</v>
      </c>
      <c r="AF49" s="12">
        <f t="shared" si="29"/>
        <v>9.1481945252162156</v>
      </c>
      <c r="AG49" s="12">
        <f t="shared" si="29"/>
        <v>19.552504401339654</v>
      </c>
      <c r="AH49" s="12">
        <f t="shared" si="29"/>
        <v>16.216562195152672</v>
      </c>
      <c r="AI49" s="12">
        <f t="shared" si="29"/>
        <v>11.62108942490587</v>
      </c>
      <c r="AJ49" s="12">
        <f t="shared" si="29"/>
        <v>9.0498161417153877</v>
      </c>
      <c r="AK49" s="12">
        <f t="shared" si="29"/>
        <v>50</v>
      </c>
      <c r="AL49" s="12">
        <f t="shared" si="29"/>
        <v>15.929697799046521</v>
      </c>
      <c r="AM49" s="12">
        <f t="shared" si="29"/>
        <v>11.089637706251883</v>
      </c>
      <c r="AN49" s="12">
        <f t="shared" si="29"/>
        <v>32.823061384780452</v>
      </c>
      <c r="AO49" s="12">
        <f t="shared" si="29"/>
        <v>30.395394144483983</v>
      </c>
      <c r="AP49" s="12">
        <f t="shared" si="29"/>
        <v>50</v>
      </c>
      <c r="AQ49" s="12">
        <f t="shared" si="29"/>
        <v>50</v>
      </c>
      <c r="AR49" s="12">
        <f t="shared" si="29"/>
        <v>41.896878898819459</v>
      </c>
      <c r="AS49" s="12">
        <f t="shared" si="29"/>
        <v>50</v>
      </c>
      <c r="AT49" s="12">
        <f t="shared" si="29"/>
        <v>49.15679750926212</v>
      </c>
      <c r="AU49" s="12">
        <f t="shared" si="29"/>
        <v>37.669423123457257</v>
      </c>
      <c r="AV49" s="12">
        <f t="shared" si="29"/>
        <v>50</v>
      </c>
      <c r="AW49" s="12">
        <f t="shared" si="29"/>
        <v>50</v>
      </c>
      <c r="AX49" s="12">
        <f t="shared" si="29"/>
        <v>42.738030796517357</v>
      </c>
      <c r="AY49" s="12">
        <f t="shared" si="29"/>
        <v>50</v>
      </c>
      <c r="AZ49" s="12">
        <f t="shared" si="29"/>
        <v>50</v>
      </c>
      <c r="BA49" s="12">
        <f t="shared" si="29"/>
        <v>50</v>
      </c>
      <c r="BB49" s="12">
        <f t="shared" si="29"/>
        <v>50</v>
      </c>
      <c r="BC49" s="12">
        <f t="shared" si="29"/>
        <v>50</v>
      </c>
      <c r="BD49" s="12">
        <f t="shared" si="29"/>
        <v>50</v>
      </c>
      <c r="BE49" s="203">
        <f>IF($D$26/BE47&lt;$D$27,$D$26/BE47,$D$27)</f>
        <v>50</v>
      </c>
      <c r="BG49" s="14" t="s">
        <v>296</v>
      </c>
    </row>
    <row r="50" spans="1:59">
      <c r="A50" s="207" t="s">
        <v>229</v>
      </c>
      <c r="B50" s="12"/>
      <c r="C50" s="12">
        <f t="shared" ref="C50:S50" si="30">IF($O$26&gt;=(C13*1.1),$G$28,$G$29)</f>
        <v>55</v>
      </c>
      <c r="D50" s="12">
        <f t="shared" si="30"/>
        <v>55</v>
      </c>
      <c r="E50" s="12">
        <f t="shared" si="30"/>
        <v>55</v>
      </c>
      <c r="F50" s="12">
        <f t="shared" si="30"/>
        <v>55</v>
      </c>
      <c r="G50" s="12">
        <f t="shared" si="30"/>
        <v>55</v>
      </c>
      <c r="H50" s="12">
        <f t="shared" si="30"/>
        <v>55</v>
      </c>
      <c r="I50" s="12">
        <f t="shared" si="30"/>
        <v>55</v>
      </c>
      <c r="J50" s="12">
        <f t="shared" si="30"/>
        <v>55</v>
      </c>
      <c r="K50" s="12">
        <f t="shared" si="30"/>
        <v>55</v>
      </c>
      <c r="L50" s="12">
        <f t="shared" si="30"/>
        <v>55</v>
      </c>
      <c r="M50" s="12">
        <f t="shared" si="30"/>
        <v>55</v>
      </c>
      <c r="N50" s="12">
        <f t="shared" si="30"/>
        <v>55</v>
      </c>
      <c r="O50" s="12">
        <f t="shared" si="30"/>
        <v>55</v>
      </c>
      <c r="P50" s="12">
        <f t="shared" si="30"/>
        <v>55</v>
      </c>
      <c r="Q50" s="12">
        <f t="shared" si="30"/>
        <v>55</v>
      </c>
      <c r="R50" s="12">
        <f t="shared" si="30"/>
        <v>55</v>
      </c>
      <c r="S50" s="12">
        <f t="shared" si="30"/>
        <v>55</v>
      </c>
      <c r="T50" s="12">
        <f t="shared" ref="T50:BE50" si="31">IF($O$26&gt;=(T13*1.1),$G$28,$G$29)</f>
        <v>55</v>
      </c>
      <c r="U50" s="12">
        <f t="shared" si="31"/>
        <v>55</v>
      </c>
      <c r="V50" s="12">
        <f t="shared" si="31"/>
        <v>55</v>
      </c>
      <c r="W50" s="12">
        <f t="shared" si="31"/>
        <v>55</v>
      </c>
      <c r="X50" s="12">
        <f t="shared" si="31"/>
        <v>55</v>
      </c>
      <c r="Y50" s="12">
        <f t="shared" si="31"/>
        <v>55</v>
      </c>
      <c r="Z50" s="12">
        <f t="shared" si="31"/>
        <v>55</v>
      </c>
      <c r="AA50" s="12">
        <f t="shared" si="31"/>
        <v>55</v>
      </c>
      <c r="AB50" s="12">
        <f t="shared" si="31"/>
        <v>55</v>
      </c>
      <c r="AC50" s="12">
        <f t="shared" si="31"/>
        <v>55</v>
      </c>
      <c r="AD50" s="12">
        <f t="shared" si="31"/>
        <v>55</v>
      </c>
      <c r="AE50" s="12">
        <f t="shared" si="31"/>
        <v>55</v>
      </c>
      <c r="AF50" s="12">
        <f t="shared" si="31"/>
        <v>55</v>
      </c>
      <c r="AG50" s="12">
        <f t="shared" si="31"/>
        <v>55</v>
      </c>
      <c r="AH50" s="12">
        <f t="shared" si="31"/>
        <v>55</v>
      </c>
      <c r="AI50" s="12">
        <f t="shared" si="31"/>
        <v>55</v>
      </c>
      <c r="AJ50" s="12">
        <f t="shared" si="31"/>
        <v>55</v>
      </c>
      <c r="AK50" s="12">
        <f t="shared" si="31"/>
        <v>55</v>
      </c>
      <c r="AL50" s="12">
        <f t="shared" si="31"/>
        <v>55</v>
      </c>
      <c r="AM50" s="12">
        <f t="shared" si="31"/>
        <v>55</v>
      </c>
      <c r="AN50" s="12">
        <f t="shared" si="31"/>
        <v>55</v>
      </c>
      <c r="AO50" s="12">
        <f t="shared" si="31"/>
        <v>55</v>
      </c>
      <c r="AP50" s="12">
        <f t="shared" si="31"/>
        <v>55</v>
      </c>
      <c r="AQ50" s="12">
        <f t="shared" si="31"/>
        <v>55</v>
      </c>
      <c r="AR50" s="12">
        <f t="shared" si="31"/>
        <v>55</v>
      </c>
      <c r="AS50" s="12">
        <f t="shared" si="31"/>
        <v>55</v>
      </c>
      <c r="AT50" s="12">
        <f t="shared" si="31"/>
        <v>55</v>
      </c>
      <c r="AU50" s="12">
        <f t="shared" si="31"/>
        <v>55</v>
      </c>
      <c r="AV50" s="12">
        <f t="shared" si="31"/>
        <v>55</v>
      </c>
      <c r="AW50" s="12">
        <f t="shared" si="31"/>
        <v>55</v>
      </c>
      <c r="AX50" s="12">
        <f t="shared" si="31"/>
        <v>55</v>
      </c>
      <c r="AY50" s="12">
        <f t="shared" si="31"/>
        <v>55</v>
      </c>
      <c r="AZ50" s="12">
        <f t="shared" si="31"/>
        <v>55</v>
      </c>
      <c r="BA50" s="12">
        <f t="shared" si="31"/>
        <v>55</v>
      </c>
      <c r="BB50" s="12">
        <f t="shared" si="31"/>
        <v>55</v>
      </c>
      <c r="BC50" s="12">
        <f t="shared" si="31"/>
        <v>55</v>
      </c>
      <c r="BD50" s="12">
        <f>IF($O$26&gt;=(BD13*1.1),$G$28,$G$29)</f>
        <v>55</v>
      </c>
      <c r="BE50" s="203">
        <f t="shared" si="31"/>
        <v>55</v>
      </c>
      <c r="BG50" s="14" t="s">
        <v>297</v>
      </c>
    </row>
    <row r="51" spans="1:59">
      <c r="A51" s="207" t="s">
        <v>246</v>
      </c>
      <c r="B51" s="12"/>
      <c r="C51" s="12">
        <f>(C11/C10)*0.001</f>
        <v>4.4642857142857143E-5</v>
      </c>
      <c r="D51" s="12">
        <f t="shared" ref="D51:S51" si="32">(D11/D10)*0.001</f>
        <v>4.1666666666666665E-5</v>
      </c>
      <c r="E51" s="12">
        <f t="shared" si="32"/>
        <v>4.4196428571428578E-5</v>
      </c>
      <c r="F51" s="12">
        <f t="shared" si="32"/>
        <v>4.4642857142857143E-5</v>
      </c>
      <c r="G51" s="12">
        <f t="shared" si="32"/>
        <v>1.4893617021276596E-4</v>
      </c>
      <c r="H51" s="12">
        <f t="shared" si="32"/>
        <v>1.4705882352941178E-4</v>
      </c>
      <c r="I51" s="12">
        <f t="shared" si="32"/>
        <v>1.4444444444444446E-4</v>
      </c>
      <c r="J51" s="12">
        <f t="shared" si="32"/>
        <v>3.2432432432432436E-4</v>
      </c>
      <c r="K51" s="12">
        <f t="shared" si="32"/>
        <v>3.3333333333333332E-4</v>
      </c>
      <c r="L51" s="12">
        <f t="shared" si="32"/>
        <v>3.2876712328767124E-4</v>
      </c>
      <c r="M51" s="12">
        <f t="shared" si="32"/>
        <v>3.9047619047619044E-4</v>
      </c>
      <c r="N51" s="12">
        <f t="shared" si="32"/>
        <v>3.6363636363636367E-4</v>
      </c>
      <c r="O51" s="12">
        <f t="shared" si="32"/>
        <v>3.7209302325581393E-4</v>
      </c>
      <c r="P51" s="12">
        <f t="shared" si="32"/>
        <v>4.2857142857142855E-4</v>
      </c>
      <c r="Q51" s="12">
        <f t="shared" si="32"/>
        <v>6.724738675958189E-4</v>
      </c>
      <c r="R51" s="12">
        <f t="shared" si="32"/>
        <v>6.7441860465116278E-4</v>
      </c>
      <c r="S51" s="12">
        <f t="shared" si="32"/>
        <v>6.9642857142857137E-4</v>
      </c>
      <c r="T51" s="12">
        <f t="shared" ref="T51:BE51" si="33">(T11/T10)*0.001</f>
        <v>1.25E-3</v>
      </c>
      <c r="U51" s="12">
        <f t="shared" si="33"/>
        <v>1.6923076923076924E-3</v>
      </c>
      <c r="V51" s="12">
        <f t="shared" si="33"/>
        <v>1.2564102564102566E-3</v>
      </c>
      <c r="W51" s="12">
        <f t="shared" si="33"/>
        <v>1.25E-3</v>
      </c>
      <c r="X51" s="12">
        <f t="shared" si="33"/>
        <v>1.2666666666666666E-3</v>
      </c>
      <c r="Y51" s="12">
        <f t="shared" si="33"/>
        <v>1.2666666666666666E-3</v>
      </c>
      <c r="Z51" s="12">
        <f t="shared" si="33"/>
        <v>1.4090909090909091E-3</v>
      </c>
      <c r="AA51" s="12">
        <f t="shared" si="33"/>
        <v>1.1065868263473056E-3</v>
      </c>
      <c r="AB51" s="12">
        <f t="shared" si="33"/>
        <v>1.1065868263473054E-3</v>
      </c>
      <c r="AC51" s="12">
        <f t="shared" si="33"/>
        <v>1.1065868263473056E-3</v>
      </c>
      <c r="AD51" s="12">
        <f t="shared" si="33"/>
        <v>1.5454545454545454E-3</v>
      </c>
      <c r="AE51" s="12">
        <f t="shared" si="33"/>
        <v>1.5294117647058822E-3</v>
      </c>
      <c r="AF51" s="12">
        <f t="shared" si="33"/>
        <v>1.4782608695652173E-3</v>
      </c>
      <c r="AG51" s="12">
        <f t="shared" si="33"/>
        <v>1.4782608695652173E-3</v>
      </c>
      <c r="AH51" s="12">
        <f t="shared" si="33"/>
        <v>1.2163525835866263E-3</v>
      </c>
      <c r="AI51" s="12">
        <f t="shared" si="33"/>
        <v>1.216352583586626E-3</v>
      </c>
      <c r="AJ51" s="12">
        <f t="shared" si="33"/>
        <v>1.2163525835866263E-3</v>
      </c>
      <c r="AK51" s="12">
        <f t="shared" si="33"/>
        <v>1.0902255639097743E-3</v>
      </c>
      <c r="AL51" s="12">
        <f t="shared" si="33"/>
        <v>1.5797101449275361E-3</v>
      </c>
      <c r="AM51" s="12">
        <f t="shared" si="33"/>
        <v>1.6336633663366338E-3</v>
      </c>
      <c r="AN51" s="12">
        <f t="shared" si="33"/>
        <v>1.5797101449275361E-3</v>
      </c>
      <c r="AO51" s="12">
        <f t="shared" si="33"/>
        <v>1.6666666666666666E-3</v>
      </c>
      <c r="AP51" s="12">
        <f t="shared" si="33"/>
        <v>2.7037037037037034E-3</v>
      </c>
      <c r="AQ51" s="12">
        <f t="shared" si="33"/>
        <v>2.8205128205128207E-3</v>
      </c>
      <c r="AR51" s="12">
        <f t="shared" si="33"/>
        <v>2.8846153846153848E-3</v>
      </c>
      <c r="AS51" s="12">
        <f t="shared" si="33"/>
        <v>2.6896551724137933E-3</v>
      </c>
      <c r="AT51" s="12">
        <f t="shared" si="33"/>
        <v>2.7272727272727271E-3</v>
      </c>
      <c r="AU51" s="12">
        <f t="shared" si="33"/>
        <v>2.5862068965517241E-3</v>
      </c>
      <c r="AV51" s="12">
        <f t="shared" si="33"/>
        <v>2.7037037037037034E-3</v>
      </c>
      <c r="AW51" s="12">
        <f t="shared" si="33"/>
        <v>2.8205128205128207E-3</v>
      </c>
      <c r="AX51" s="12">
        <f t="shared" si="33"/>
        <v>2.8846153846153848E-3</v>
      </c>
      <c r="AY51" s="12">
        <f t="shared" si="33"/>
        <v>6.136363636363636E-3</v>
      </c>
      <c r="AZ51" s="12">
        <f t="shared" si="33"/>
        <v>6.000000000000001E-3</v>
      </c>
      <c r="BA51" s="12">
        <f t="shared" si="33"/>
        <v>5.9999999999999993E-3</v>
      </c>
      <c r="BB51" s="12">
        <f t="shared" si="33"/>
        <v>5.9090909090909081E-3</v>
      </c>
      <c r="BC51" s="12">
        <f t="shared" si="33"/>
        <v>5.8823529411764714E-3</v>
      </c>
      <c r="BD51" s="12">
        <f t="shared" si="33"/>
        <v>5.9090909090909081E-3</v>
      </c>
      <c r="BE51" s="203">
        <f t="shared" si="33"/>
        <v>4.0625000000000001E-3</v>
      </c>
      <c r="BG51" s="14" t="s">
        <v>298</v>
      </c>
    </row>
    <row r="52" spans="1:59">
      <c r="A52" s="207" t="s">
        <v>249</v>
      </c>
      <c r="B52" s="12" t="s">
        <v>103</v>
      </c>
      <c r="C52" s="12">
        <f>ABS(C51*((((($D$26-((((C49*0.632120558828558)*C8)/C38)*C9))/C47)*0.632120558828558)*C8)/C38))</f>
        <v>3.7368920822975797E-5</v>
      </c>
      <c r="D52" s="12">
        <f t="shared" ref="D52:S52" si="34">ABS(D51*((((($D$26-((((D49*0.632120558828558)*D8)/D38)*D9))/D47)*0.632120558828558)*D8)/D38))</f>
        <v>7.9126858025247302E-5</v>
      </c>
      <c r="E52" s="12">
        <f t="shared" si="34"/>
        <v>1.1854170115096348E-4</v>
      </c>
      <c r="F52" s="12">
        <f t="shared" si="34"/>
        <v>2.6165766021849759E-4</v>
      </c>
      <c r="G52" s="12">
        <f t="shared" si="34"/>
        <v>5.624815735154211E-3</v>
      </c>
      <c r="H52" s="12">
        <f t="shared" si="34"/>
        <v>7.4711756696082456E-3</v>
      </c>
      <c r="I52" s="12">
        <f t="shared" si="34"/>
        <v>6.2350116471689516E-3</v>
      </c>
      <c r="J52" s="12">
        <f t="shared" si="34"/>
        <v>2.2713192788973002E-3</v>
      </c>
      <c r="K52" s="12">
        <f t="shared" si="34"/>
        <v>3.3018581750389957E-2</v>
      </c>
      <c r="L52" s="12">
        <f t="shared" si="34"/>
        <v>5.527887390884597E-2</v>
      </c>
      <c r="M52" s="12">
        <f t="shared" si="34"/>
        <v>0.6020974672407613</v>
      </c>
      <c r="N52" s="12">
        <f t="shared" si="34"/>
        <v>0.85370304641594796</v>
      </c>
      <c r="O52" s="12">
        <f t="shared" si="34"/>
        <v>0.7476394624294459</v>
      </c>
      <c r="P52" s="12">
        <f t="shared" si="34"/>
        <v>8.4133386574754332E-2</v>
      </c>
      <c r="Q52" s="12">
        <f t="shared" si="34"/>
        <v>2.1965469562020501</v>
      </c>
      <c r="R52" s="12">
        <f t="shared" si="34"/>
        <v>1.9647321131292483</v>
      </c>
      <c r="S52" s="12">
        <f t="shared" si="34"/>
        <v>1.865956785561423</v>
      </c>
      <c r="T52" s="12">
        <f t="shared" ref="T52" si="35">ABS(T51*((((($D$26-((((T49*0.632120558828558)*T8)/T38)*T9))/T47)*0.632120558828558)*T8)/T38))</f>
        <v>9.7393849899624296</v>
      </c>
      <c r="U52" s="12">
        <f t="shared" ref="U52" si="36">ABS(U51*((((($D$26-((((U49*0.632120558828558)*U8)/U38)*U9))/U47)*0.632120558828558)*U8)/U38))</f>
        <v>2.7966852899642136</v>
      </c>
      <c r="V52" s="12">
        <f t="shared" ref="V52" si="37">ABS(V51*((((($D$26-((((V49*0.632120558828558)*V8)/V38)*V9))/V47)*0.632120558828558)*V8)/V38))</f>
        <v>15.494317080539229</v>
      </c>
      <c r="W52" s="12">
        <f t="shared" ref="W52" si="38">ABS(W51*((((($D$26-((((W49*0.632120558828558)*W8)/W38)*W9))/W47)*0.632120558828558)*W8)/W38))</f>
        <v>14.581672138886132</v>
      </c>
      <c r="X52" s="12">
        <f t="shared" ref="X52" si="39">ABS(X51*((((($D$26-((((X49*0.632120558828558)*X8)/X38)*X9))/X47)*0.632120558828558)*X8)/X38))</f>
        <v>10.51483124556828</v>
      </c>
      <c r="Y52" s="12">
        <f t="shared" ref="Y52" si="40">ABS(Y51*((((($D$26-((((Y49*0.632120558828558)*Y8)/Y38)*Y9))/Y47)*0.632120558828558)*Y8)/Y38))</f>
        <v>13.039818950547499</v>
      </c>
      <c r="Z52" s="12">
        <f t="shared" ref="Z52" si="41">ABS(Z51*((((($D$26-((((Z49*0.632120558828558)*Z8)/Z38)*Z9))/Z47)*0.632120558828558)*Z8)/Z38))</f>
        <v>2.0163028377816632</v>
      </c>
      <c r="AA52" s="12">
        <f t="shared" ref="AA52" si="42">ABS(AA51*((((($D$26-((((AA49*0.632120558828558)*AA8)/AA38)*AA9))/AA47)*0.632120558828558)*AA8)/AA38))</f>
        <v>6.7534202308618623</v>
      </c>
      <c r="AB52" s="12">
        <f t="shared" ref="AB52" si="43">ABS(AB51*((((($D$26-((((AB49*0.632120558828558)*AB8)/AB38)*AB9))/AB47)*0.632120558828558)*AB8)/AB38))</f>
        <v>5.7533235489750254</v>
      </c>
      <c r="AC52" s="12">
        <f t="shared" ref="AC52" si="44">ABS(AC51*((((($D$26-((((AC49*0.632120558828558)*AC8)/AC38)*AC9))/AC47)*0.632120558828558)*AC8)/AC38))</f>
        <v>4.905534490414289</v>
      </c>
      <c r="AD52" s="12">
        <f t="shared" ref="AD52" si="45">ABS(AD51*((((($D$26-((((AD49*0.632120558828558)*AD8)/AD38)*AD9))/AD47)*0.632120558828558)*AD8)/AD38))</f>
        <v>14.975298868916875</v>
      </c>
      <c r="AE52" s="12">
        <f t="shared" ref="AE52" si="46">ABS(AE51*((((($D$26-((((AE49*0.632120558828558)*AE8)/AE38)*AE9))/AE47)*0.632120558828558)*AE8)/AE38))</f>
        <v>12.154019711747086</v>
      </c>
      <c r="AF52" s="12">
        <f t="shared" ref="AF52" si="47">ABS(AF51*((((($D$26-((((AF49*0.632120558828558)*AF8)/AF38)*AF9))/AF47)*0.632120558828558)*AF8)/AF38))</f>
        <v>9.8302618609527137</v>
      </c>
      <c r="AG52" s="12">
        <f t="shared" ref="AG52" si="48">ABS(AG51*((((($D$26-((((AG49*0.632120558828558)*AG8)/AG38)*AG9))/AG47)*0.632120558828558)*AG8)/AG38))</f>
        <v>12.583659988641488</v>
      </c>
      <c r="AH52" s="12">
        <f t="shared" ref="AH52" si="49">ABS(AH51*((((($D$26-((((AH49*0.632120558828558)*AH8)/AH38)*AH9))/AH47)*0.632120558828558)*AH8)/AH38))</f>
        <v>7.9627611651481303</v>
      </c>
      <c r="AI52" s="12">
        <f t="shared" ref="AI52" si="50">ABS(AI51*((((($D$26-((((AI49*0.632120558828558)*AI8)/AI38)*AI9))/AI47)*0.632120558828558)*AI8)/AI38))</f>
        <v>6.2845849294114711</v>
      </c>
      <c r="AJ52" s="12">
        <f t="shared" ref="AJ52" si="51">ABS(AJ51*((((($D$26-((((AJ49*0.632120558828558)*AJ8)/AJ38)*AJ9))/AJ47)*0.632120558828558)*AJ8)/AJ38))</f>
        <v>5.1437722040754732</v>
      </c>
      <c r="AK52" s="12">
        <f t="shared" ref="AK52" si="52">ABS(AK51*((((($D$26-((((AK49*0.632120558828558)*AK8)/AK38)*AK9))/AK47)*0.632120558828558)*AK8)/AK38))</f>
        <v>22.222566519508305</v>
      </c>
      <c r="AL52" s="12">
        <f t="shared" ref="AL52" si="53">ABS(AL51*((((($D$26-((((AL49*0.632120558828558)*AL8)/AL38)*AL9))/AL47)*0.632120558828558)*AL8)/AL38))</f>
        <v>40.464044064720611</v>
      </c>
      <c r="AM52" s="12">
        <f t="shared" ref="AM52" si="54">ABS(AM51*((((($D$26-((((AM49*0.632120558828558)*AM8)/AM38)*AM9))/AM47)*0.632120558828558)*AM8)/AM38))</f>
        <v>27.87634136640019</v>
      </c>
      <c r="AN52" s="12">
        <f t="shared" ref="AN52" si="55">ABS(AN51*((((($D$26-((((AN49*0.632120558828558)*AN8)/AN38)*AN9))/AN47)*0.632120558828558)*AN8)/AN38))</f>
        <v>54.344865351901156</v>
      </c>
      <c r="AO52" s="12">
        <f t="shared" ref="AO52" si="56">ABS(AO51*((((($D$26-((((AO49*0.632120558828558)*AO8)/AO38)*AO9))/AO47)*0.632120558828558)*AO8)/AO38))</f>
        <v>13.339896363017292</v>
      </c>
      <c r="AP52" s="12">
        <f t="shared" ref="AP52" si="57">ABS(AP51*((((($D$26-((((AP49*0.632120558828558)*AP8)/AP38)*AP9))/AP47)*0.632120558828558)*AP8)/AP38))</f>
        <v>20.784097122511852</v>
      </c>
      <c r="AQ52" s="12">
        <f t="shared" ref="AQ52" si="58">ABS(AQ51*((((($D$26-((((AQ49*0.632120558828558)*AQ8)/AQ38)*AQ9))/AQ47)*0.632120558828558)*AQ8)/AQ38))</f>
        <v>28.91488934140007</v>
      </c>
      <c r="AR52" s="12">
        <f t="shared" ref="AR52" si="59">ABS(AR51*((((($D$26-((((AR49*0.632120558828558)*AR8)/AR38)*AR9))/AR47)*0.632120558828558)*AR8)/AR38))</f>
        <v>27.11539876060958</v>
      </c>
      <c r="AS52" s="12">
        <f t="shared" ref="AS52" si="60">ABS(AS51*((((($D$26-((((AS49*0.632120558828558)*AS8)/AS38)*AS9))/AS47)*0.632120558828558)*AS8)/AS38))</f>
        <v>15.345961021320107</v>
      </c>
      <c r="AT52" s="12">
        <f t="shared" ref="AT52" si="61">ABS(AT51*((((($D$26-((((AT49*0.632120558828558)*AT8)/AT38)*AT9))/AT47)*0.632120558828558)*AT8)/AT38))</f>
        <v>18.774274836513367</v>
      </c>
      <c r="AU52" s="12">
        <f t="shared" ref="AU52" si="62">ABS(AU51*((((($D$26-((((AU49*0.632120558828558)*AU8)/AU38)*AU9))/AU47)*0.632120558828558)*AU8)/AU38))</f>
        <v>14.30437891156544</v>
      </c>
      <c r="AV52" s="12">
        <f t="shared" ref="AV52" si="63">ABS(AV51*((((($D$26-((((AV49*0.632120558828558)*AV8)/AV38)*AV9))/AV47)*0.632120558828558)*AV8)/AV38))</f>
        <v>34.746776322114485</v>
      </c>
      <c r="AW52" s="12">
        <f t="shared" ref="AW52" si="64">ABS(AW51*((((($D$26-((((AW49*0.632120558828558)*AW8)/AW38)*AW9))/AW47)*0.632120558828558)*AW8)/AW38))</f>
        <v>46.557538119143942</v>
      </c>
      <c r="AX52" s="12">
        <f t="shared" ref="AX52" si="65">ABS(AX51*((((($D$26-((((AX49*0.632120558828558)*AX8)/AX38)*AX9))/AX47)*0.632120558828558)*AX8)/AX38))</f>
        <v>45.368538375188557</v>
      </c>
      <c r="AY52" s="12">
        <f t="shared" ref="AY52" si="66">ABS(AY51*((((($D$26-((((AY49*0.632120558828558)*AY8)/AY38)*AY9))/AY47)*0.632120558828558)*AY8)/AY38))</f>
        <v>35.802368225253126</v>
      </c>
      <c r="AZ52" s="12">
        <f t="shared" ref="AZ52" si="67">ABS(AZ51*((((($D$26-((((AZ49*0.632120558828558)*AZ8)/AZ38)*AZ9))/AZ47)*0.632120558828558)*AZ8)/AZ38))</f>
        <v>27.824827232730399</v>
      </c>
      <c r="BA52" s="12">
        <f t="shared" ref="BA52" si="68">ABS(BA51*((((($D$26-((((BA49*0.632120558828558)*BA8)/BA38)*BA9))/BA47)*0.632120558828558)*BA8)/BA38))</f>
        <v>31.708843625401283</v>
      </c>
      <c r="BB52" s="12">
        <f t="shared" ref="BB52" si="69">ABS(BB51*((((($D$26-((((BB49*0.632120558828558)*BB8)/BB38)*BB9))/BB47)*0.632120558828558)*BB8)/BB38))</f>
        <v>11.490905777403327</v>
      </c>
      <c r="BC52" s="12">
        <f t="shared" ref="BC52" si="70">ABS(BC51*((((($D$26-((((BC49*0.632120558828558)*BC8)/BC38)*BC9))/BC47)*0.632120558828558)*BC8)/BC38))</f>
        <v>16.247000030889879</v>
      </c>
      <c r="BD52" s="12">
        <f t="shared" ref="BD52" si="71">ABS(BD51*((((($D$26-((((BD49*0.632120558828558)*BD8)/BD38)*BD9))/BD47)*0.632120558828558)*BD8)/BD38))</f>
        <v>17.482240124828195</v>
      </c>
      <c r="BE52" s="203">
        <f t="shared" ref="BE52" si="72">ABS(BE51*((((($D$26-((((BE49*0.632120558828558)*BE8)/BE38)*BE9))/BE47)*0.632120558828558)*BE8)/BE38))</f>
        <v>19.563135214188662</v>
      </c>
      <c r="BG52" s="14" t="s">
        <v>299</v>
      </c>
    </row>
    <row r="53" spans="1:59">
      <c r="A53" s="207" t="s">
        <v>250</v>
      </c>
      <c r="B53" s="12" t="s">
        <v>103</v>
      </c>
      <c r="C53" s="12">
        <f>ABS(C51*((((($D$26-((((C49*0.864664716763387)*C8)/C38)*C9))/C47)*0.864664716763387)*C8)/C38))+C52</f>
        <v>8.8462088035985058E-5</v>
      </c>
      <c r="D53" s="12">
        <f t="shared" ref="D53:S53" si="73">ABS(D51*((((($D$26-((((D49*0.864664716763387)*D8)/D38)*D9))/D47)*0.864664716763387)*D8)/D38))+D52</f>
        <v>1.8719125521592122E-4</v>
      </c>
      <c r="E53" s="12">
        <f t="shared" si="73"/>
        <v>2.8022523536878376E-4</v>
      </c>
      <c r="F53" s="12">
        <f t="shared" si="73"/>
        <v>6.177220746939585E-4</v>
      </c>
      <c r="G53" s="12">
        <f t="shared" si="73"/>
        <v>1.2902848934600674E-2</v>
      </c>
      <c r="H53" s="12">
        <f t="shared" si="73"/>
        <v>1.5695598493825708E-2</v>
      </c>
      <c r="I53" s="12">
        <f t="shared" si="73"/>
        <v>1.1624733568722193E-2</v>
      </c>
      <c r="J53" s="12">
        <f t="shared" si="73"/>
        <v>1.8148088384515725E-2</v>
      </c>
      <c r="K53" s="12">
        <f t="shared" si="73"/>
        <v>0.11007858949563309</v>
      </c>
      <c r="L53" s="12">
        <f t="shared" si="73"/>
        <v>0.17390183559119449</v>
      </c>
      <c r="M53" s="12">
        <f t="shared" si="73"/>
        <v>1.7848385005639251</v>
      </c>
      <c r="N53" s="12">
        <f t="shared" si="73"/>
        <v>2.5022778320381098</v>
      </c>
      <c r="O53" s="12">
        <f t="shared" si="73"/>
        <v>2.1881833147908054</v>
      </c>
      <c r="P53" s="12">
        <f t="shared" si="73"/>
        <v>0.25821657762109806</v>
      </c>
      <c r="Q53" s="12">
        <f t="shared" si="73"/>
        <v>6.4045229538254329</v>
      </c>
      <c r="R53" s="12">
        <f t="shared" si="73"/>
        <v>5.7148980416063777</v>
      </c>
      <c r="S53" s="12">
        <f t="shared" si="73"/>
        <v>5.4199781819166617</v>
      </c>
      <c r="T53" s="12">
        <f t="shared" ref="T53" si="74">ABS(T51*((((($D$26-((((T49*0.864664716763387)*T8)/T38)*T9))/T47)*0.864664716763387)*T8)/T38))+T52</f>
        <v>28.412056250772217</v>
      </c>
      <c r="U53" s="12">
        <f t="shared" ref="U53" si="75">ABS(U51*((((($D$26-((((U49*0.864664716763387)*U8)/U38)*U9))/U47)*0.864664716763387)*U8)/U38))+U52</f>
        <v>8.3060954452735345</v>
      </c>
      <c r="V53" s="12">
        <f t="shared" ref="V53" si="76">ABS(V51*((((($D$26-((((V49*0.864664716763387)*V8)/V38)*V9))/V47)*0.864664716763387)*V8)/V38))+V52</f>
        <v>44.82996214726036</v>
      </c>
      <c r="W53" s="12">
        <f t="shared" ref="W53" si="77">ABS(W51*((((($D$26-((((W49*0.864664716763387)*W8)/W38)*W9))/W47)*0.864664716763387)*W8)/W38))+W52</f>
        <v>42.136445363212573</v>
      </c>
      <c r="X53" s="12">
        <f t="shared" ref="X53" si="78">ABS(X51*((((($D$26-((((X49*0.864664716763387)*X8)/X38)*X9))/X47)*0.864664716763387)*X8)/X38))+X52</f>
        <v>30.396607147824952</v>
      </c>
      <c r="Y53" s="12">
        <f t="shared" ref="Y53" si="79">ABS(Y51*((((($D$26-((((Y49*0.864664716763387)*Y8)/Y38)*Y9))/Y47)*0.864664716763387)*Y8)/Y38))+Y52</f>
        <v>37.669753109566074</v>
      </c>
      <c r="Z53" s="12">
        <f t="shared" ref="Z53" si="80">ABS(Z51*((((($D$26-((((Z49*0.864664716763387)*Z8)/Z38)*Z9))/Z47)*0.864664716763387)*Z8)/Z38))+Z52</f>
        <v>5.8815394853164271</v>
      </c>
      <c r="AA53" s="12">
        <f t="shared" ref="AA53" si="81">ABS(AA51*((((($D$26-((((AA49*0.864664716763387)*AA8)/AA38)*AA9))/AA47)*0.864664716763387)*AA8)/AA38))+AA52</f>
        <v>19.624148422135676</v>
      </c>
      <c r="AB53" s="12">
        <f t="shared" ref="AB53" si="82">ABS(AB51*((((($D$26-((((AB49*0.864664716763387)*AB8)/AB38)*AB9))/AB47)*0.864664716763387)*AB8)/AB38))+AB52</f>
        <v>16.69433594795413</v>
      </c>
      <c r="AC53" s="12">
        <f t="shared" ref="AC53" si="83">ABS(AC51*((((($D$26-((((AC49*0.864664716763387)*AC8)/AC38)*AC9))/AC47)*0.864664716763387)*AC8)/AC38))+AC52</f>
        <v>14.224738669070121</v>
      </c>
      <c r="AD53" s="12">
        <f t="shared" ref="AD53" si="84">ABS(AD51*((((($D$26-((((AD49*0.864664716763387)*AD8)/AD38)*AD9))/AD47)*0.864664716763387)*AD8)/AD38))+AD52</f>
        <v>43.306937424925309</v>
      </c>
      <c r="AE53" s="12">
        <f t="shared" ref="AE53" si="85">ABS(AE51*((((($D$26-((((AE49*0.864664716763387)*AE8)/AE38)*AE9))/AE47)*0.864664716763387)*AE8)/AE38))+AE52</f>
        <v>35.122677577120314</v>
      </c>
      <c r="AF53" s="12">
        <f t="shared" ref="AF53" si="86">ABS(AF51*((((($D$26-((((AF49*0.864664716763387)*AF8)/AF38)*AF9))/AF47)*0.864664716763387)*AF8)/AF38))+AF52</f>
        <v>28.397595719875135</v>
      </c>
      <c r="AG53" s="12">
        <f t="shared" ref="AG53" si="87">ABS(AG51*((((($D$26-((((AG49*0.864664716763387)*AG8)/AG38)*AG9))/AG47)*0.864664716763387)*AG8)/AG38))+AG52</f>
        <v>36.325330481755344</v>
      </c>
      <c r="AH53" s="12">
        <f t="shared" ref="AH53" si="88">ABS(AH51*((((($D$26-((((AH49*0.864664716763387)*AH8)/AH38)*AH9))/AH47)*0.864664716763387)*AH8)/AH38))+AH52</f>
        <v>23.068205442798412</v>
      </c>
      <c r="AI53" s="12">
        <f t="shared" ref="AI53" si="89">ABS(AI51*((((($D$26-((((AI49*0.864664716763387)*AI8)/AI38)*AI9))/AI47)*0.864664716763387)*AI8)/AI38))+AI52</f>
        <v>18.193025097943597</v>
      </c>
      <c r="AJ53" s="12">
        <f t="shared" ref="AJ53" si="90">ABS(AJ51*((((($D$26-((((AJ49*0.864664716763387)*AJ8)/AJ38)*AJ9))/AJ47)*0.864664716763387)*AJ8)/AJ38))+AJ52</f>
        <v>14.885184460586656</v>
      </c>
      <c r="AK53" s="12">
        <f t="shared" ref="AK53" si="91">ABS(AK51*((((($D$26-((((AK49*0.864664716763387)*AK8)/AK38)*AK9))/AK47)*0.864664716763387)*AK8)/AK38))+AK52</f>
        <v>64.505815663332413</v>
      </c>
      <c r="AL53" s="12">
        <f t="shared" ref="AL53" si="92">ABS(AL51*((((($D$26-((((AL49*0.864664716763387)*AL8)/AL38)*AL9))/AL47)*0.864664716763387)*AL8)/AL38))+AL52</f>
        <v>116.59022790811014</v>
      </c>
      <c r="AM53" s="12">
        <f t="shared" ref="AM53" si="93">ABS(AM51*((((($D$26-((((AM49*0.864664716763387)*AM8)/AM38)*AM9))/AM47)*0.864664716763387)*AM8)/AM38))+AM52</f>
        <v>80.328701570509764</v>
      </c>
      <c r="AN53" s="12">
        <f t="shared" ref="AN53" si="94">ABS(AN51*((((($D$26-((((AN49*0.864664716763387)*AN8)/AN38)*AN9))/AN47)*0.864664716763387)*AN8)/AN38))+AN52</f>
        <v>156.50489771484786</v>
      </c>
      <c r="AO53" s="12">
        <f t="shared" ref="AO53" si="95">ABS(AO51*((((($D$26-((((AO49*0.864664716763387)*AO8)/AO38)*AO9))/AO47)*0.864664716763387)*AO8)/AO38))+AO52</f>
        <v>38.546893259602193</v>
      </c>
      <c r="AP53" s="12">
        <f t="shared" ref="AP53" si="96">ABS(AP51*((((($D$26-((((AP49*0.864664716763387)*AP8)/AP38)*AP9))/AP47)*0.864664716763387)*AP8)/AP38))+AP52</f>
        <v>60.369788698184621</v>
      </c>
      <c r="AQ53" s="12">
        <f t="shared" ref="AQ53" si="97">ABS(AQ51*((((($D$26-((((AQ49*0.864664716763387)*AQ8)/AQ38)*AQ9))/AQ47)*0.864664716763387)*AQ8)/AQ38))+AQ52</f>
        <v>83.597542323993764</v>
      </c>
      <c r="AR53" s="12">
        <f t="shared" ref="AR53" si="98">ABS(AR51*((((($D$26-((((AR49*0.864664716763387)*AR8)/AR38)*AR9))/AR47)*0.864664716763387)*AR8)/AR38))+AR52</f>
        <v>78.321513297173283</v>
      </c>
      <c r="AS53" s="12">
        <f t="shared" ref="AS53" si="99">ABS(AS51*((((($D$26-((((AS49*0.864664716763387)*AS8)/AS38)*AS9))/AS47)*0.864664716763387)*AS8)/AS38))+AS52</f>
        <v>44.681008487569571</v>
      </c>
      <c r="AT53" s="12">
        <f t="shared" ref="AT53" si="100">ABS(AT51*((((($D$26-((((AT49*0.864664716763387)*AT8)/AT38)*AT9))/AT47)*0.864664716763387)*AT8)/AT38))+AT52</f>
        <v>54.354130424526886</v>
      </c>
      <c r="AU53" s="12">
        <f t="shared" ref="AU53" si="101">ABS(AU51*((((($D$26-((((AU49*0.864664716763387)*AU8)/AU38)*AU9))/AU47)*0.864664716763387)*AU8)/AU38))+AU52</f>
        <v>41.403941629017339</v>
      </c>
      <c r="AV53" s="12">
        <f t="shared" ref="AV53" si="102">ABS(AV51*((((($D$26-((((AV49*0.864664716763387)*AV8)/AV38)*AV9))/AV47)*0.864664716763387)*AV8)/AV38))+AV52</f>
        <v>100.60304552627825</v>
      </c>
      <c r="AW53" s="12">
        <f t="shared" ref="AW53" si="103">ABS(AW51*((((($D$26-((((AW49*0.864664716763387)*AW8)/AW38)*AW9))/AW47)*0.864664716763387)*AW8)/AW38))+AW52</f>
        <v>134.359741853804</v>
      </c>
      <c r="AX53" s="12">
        <f t="shared" ref="AX53" si="104">ABS(AX51*((((($D$26-((((AX49*0.864664716763387)*AX8)/AX38)*AX9))/AX47)*0.864664716763387)*AX8)/AX38))+AX52</f>
        <v>130.81717324888419</v>
      </c>
      <c r="AY53" s="12">
        <f t="shared" ref="AY53" si="105">ABS(AY51*((((($D$26-((((AY49*0.864664716763387)*AY8)/AY38)*AY9))/AY47)*0.864664716763387)*AY8)/AY38))+AY52</f>
        <v>103.53295765713679</v>
      </c>
      <c r="AZ53" s="12">
        <f t="shared" ref="AZ53" si="106">ABS(AZ51*((((($D$26-((((AZ49*0.864664716763387)*AZ8)/AZ38)*AZ9))/AZ47)*0.864664716763387)*AZ8)/AZ38))+AZ52</f>
        <v>80.649703333293871</v>
      </c>
      <c r="BA53" s="12">
        <f t="shared" ref="BA53" si="107">ABS(BA51*((((($D$26-((((BA49*0.864664716763387)*BA8)/BA38)*BA9))/BA47)*0.864664716763387)*BA8)/BA38))+BA52</f>
        <v>92.046237803567564</v>
      </c>
      <c r="BB53" s="12">
        <f t="shared" ref="BB53" si="108">ABS(BB51*((((($D$26-((((BB49*0.864664716763387)*BB8)/BB38)*BB9))/BB47)*0.864664716763387)*BB8)/BB38))+BB52</f>
        <v>34.109042139154212</v>
      </c>
      <c r="BC53" s="12">
        <f t="shared" ref="BC53" si="109">ABS(BC51*((((($D$26-((((BC49*0.864664716763387)*BC8)/BC38)*BC9))/BC47)*0.864664716763387)*BC8)/BC38))+BC52</f>
        <v>47.49253139809322</v>
      </c>
      <c r="BD53" s="12">
        <f t="shared" ref="BD53" si="110">ABS(BD51*((((($D$26-((((BD49*0.864664716763387)*BD8)/BD38)*BD9))/BD47)*0.864664716763387)*BD8)/BD38))+BD52</f>
        <v>50.86774939700468</v>
      </c>
      <c r="BE53" s="203">
        <f t="shared" ref="BE53" si="111">ABS(BE51*((((($D$26-((((BE49*0.864664716763387)*BE8)/BE38)*BE9))/BE47)*0.864664716763387)*BE8)/BE38))+BE52</f>
        <v>56.74949239533364</v>
      </c>
      <c r="BG53" s="14" t="s">
        <v>300</v>
      </c>
    </row>
    <row r="54" spans="1:59">
      <c r="A54" s="207" t="s">
        <v>251</v>
      </c>
      <c r="B54" s="12" t="s">
        <v>103</v>
      </c>
      <c r="C54" s="12">
        <f>ABS(C51*((((($D$26-((((C49*0.950212931632136)*C8)/C38)*C9))/C47)*0.950212931632136)*C8)/C38))+C53</f>
        <v>1.4460100909801651E-4</v>
      </c>
      <c r="D54" s="12">
        <f t="shared" ref="D54:S54" si="112">ABS(D51*((((($D$26-((((D49*0.950212931632136)*D8)/D38)*D9))/D47)*0.950212931632136)*D8)/D38))+D53</f>
        <v>3.0587795391253547E-4</v>
      </c>
      <c r="E54" s="12">
        <f t="shared" si="112"/>
        <v>4.577165314441549E-4</v>
      </c>
      <c r="F54" s="12">
        <f t="shared" si="112"/>
        <v>1.0082661901768227E-3</v>
      </c>
      <c r="G54" s="12">
        <f t="shared" si="112"/>
        <v>2.0732762419164795E-2</v>
      </c>
      <c r="H54" s="12">
        <f t="shared" si="112"/>
        <v>2.3927098443509889E-2</v>
      </c>
      <c r="I54" s="12">
        <f t="shared" si="112"/>
        <v>1.6278670302802729E-2</v>
      </c>
      <c r="J54" s="12">
        <f t="shared" si="112"/>
        <v>4.0758237846911571E-2</v>
      </c>
      <c r="K54" s="12">
        <f t="shared" si="112"/>
        <v>0.20765699289839756</v>
      </c>
      <c r="L54" s="12">
        <f t="shared" si="112"/>
        <v>0.32164830187076771</v>
      </c>
      <c r="M54" s="12">
        <f t="shared" si="112"/>
        <v>3.229791258206923</v>
      </c>
      <c r="N54" s="12">
        <f t="shared" si="112"/>
        <v>4.5083404089069159</v>
      </c>
      <c r="O54" s="12">
        <f t="shared" si="112"/>
        <v>3.9401840817423981</v>
      </c>
      <c r="P54" s="12">
        <f t="shared" si="112"/>
        <v>0.47337508006575407</v>
      </c>
      <c r="Q54" s="12">
        <f t="shared" si="112"/>
        <v>11.515320028712363</v>
      </c>
      <c r="R54" s="12">
        <f t="shared" si="112"/>
        <v>10.265702303381715</v>
      </c>
      <c r="S54" s="12">
        <f t="shared" si="112"/>
        <v>9.7305580281212798</v>
      </c>
      <c r="T54" s="12">
        <f t="shared" ref="T54" si="113">ABS(T51*((((($D$26-((((T49*0.950212931632136)*T8)/T38)*T9))/T47)*0.950212931632136)*T8)/T38))+T53</f>
        <v>51.095193274068535</v>
      </c>
      <c r="U54" s="12">
        <f t="shared" ref="U54" si="114">ABS(U51*((((($D$26-((((U49*0.950212931632136)*U8)/U38)*U9))/U47)*0.950212931632136)*U8)/U38))+U53</f>
        <v>15.041349934357534</v>
      </c>
      <c r="V54" s="12">
        <f t="shared" ref="V54" si="115">ABS(V51*((((($D$26-((((V49*0.950212931632136)*V8)/V38)*V9))/V47)*0.950212931632136)*V8)/V38))+V53</f>
        <v>80.359350638187394</v>
      </c>
      <c r="W54" s="12">
        <f t="shared" ref="W54" si="116">ABS(W51*((((($D$26-((((W49*0.950212931632136)*W8)/W38)*W9))/W47)*0.950212931632136)*W8)/W38))+W53</f>
        <v>75.493495367270242</v>
      </c>
      <c r="X54" s="12">
        <f t="shared" ref="X54" si="117">ABS(X51*((((($D$26-((((X49*0.950212931632136)*X8)/X38)*X9))/X47)*0.950212931632136)*X8)/X38))+X53</f>
        <v>54.468464901942951</v>
      </c>
      <c r="Y54" s="12">
        <f t="shared" ref="Y54" si="118">ABS(Y51*((((($D$26-((((Y49*0.950212931632136)*Y8)/Y38)*Y9))/Y47)*0.950212931632136)*Y8)/Y38))+Y53</f>
        <v>67.482789541477587</v>
      </c>
      <c r="Z54" s="12">
        <f t="shared" ref="Z54" si="119">ABS(Z51*((((($D$26-((((Z49*0.950212931632136)*Z8)/Z38)*Z9))/Z47)*0.950212931632136)*Z8)/Z38))+Z53</f>
        <v>10.576801043139888</v>
      </c>
      <c r="AA54" s="12">
        <f t="shared" ref="AA54" si="120">ABS(AA51*((((($D$26-((((AA49*0.950212931632136)*AA8)/AA38)*AA9))/AA47)*0.950212931632136)*AA8)/AA38))+AA53</f>
        <v>35.236963058076569</v>
      </c>
      <c r="AB54" s="12">
        <f t="shared" ref="AB54" si="121">ABS(AB51*((((($D$26-((((AB49*0.950212931632136)*AB8)/AB38)*AB9))/AB47)*0.950212931632136)*AB8)/AB38))+AB53</f>
        <v>29.959428649027529</v>
      </c>
      <c r="AC54" s="12">
        <f t="shared" ref="AC54" si="122">ABS(AC51*((((($D$26-((((AC49*0.950212931632136)*AC8)/AC38)*AC9))/AC47)*0.950212931632136)*AC8)/AC38))+AC53</f>
        <v>25.520734242467448</v>
      </c>
      <c r="AD54" s="12">
        <f t="shared" ref="AD54" si="123">ABS(AD51*((((($D$26-((((AD49*0.950212931632136)*AD8)/AD38)*AD9))/AD47)*0.950212931632136)*AD8)/AD38))+AD53</f>
        <v>77.614106547057958</v>
      </c>
      <c r="AE54" s="12">
        <f t="shared" ref="AE54" si="124">ABS(AE51*((((($D$26-((((AE49*0.950212931632136)*AE8)/AE38)*AE9))/AE47)*0.950212931632136)*AE8)/AE38))+AE53</f>
        <v>62.928307590210267</v>
      </c>
      <c r="AF54" s="12">
        <f t="shared" ref="AF54" si="125">ABS(AF51*((((($D$26-((((AF49*0.950212931632136)*AF8)/AF38)*AF9))/AF47)*0.950212931632136)*AF8)/AF38))+AF53</f>
        <v>50.872132937043986</v>
      </c>
      <c r="AG54" s="12">
        <f t="shared" ref="AG54" si="126">ABS(AG51*((((($D$26-((((AG49*0.950212931632136)*AG8)/AG38)*AG9))/AG47)*0.950212931632136)*AG8)/AG38))+AG53</f>
        <v>65.05537261564703</v>
      </c>
      <c r="AH54" s="12">
        <f t="shared" ref="AH54" si="127">ABS(AH51*((((($D$26-((((AH49*0.950212931632136)*AH8)/AH38)*AH9))/AH47)*0.950212931632136)*AH8)/AH38))+AH53</f>
        <v>41.371510499914351</v>
      </c>
      <c r="AI54" s="12">
        <f t="shared" ref="AI54" si="128">ABS(AI51*((((($D$26-((((AI49*0.950212931632136)*AI8)/AI38)*AI9))/AI47)*0.950212931632136)*AI8)/AI38))+AI53</f>
        <v>32.61858097119638</v>
      </c>
      <c r="AJ54" s="12">
        <f t="shared" ref="AJ54" si="129">ABS(AJ51*((((($D$26-((((AJ49*0.950212931632136)*AJ8)/AJ38)*AJ9))/AJ47)*0.950212931632136)*AJ8)/AJ38))+AJ53</f>
        <v>26.684103550618701</v>
      </c>
      <c r="AK54" s="12">
        <f t="shared" ref="AK54" si="130">ABS(AK51*((((($D$26-((((AK49*0.950212931632136)*AK8)/AK38)*AK9))/AK47)*0.950212931632136)*AK8)/AK38))+AK53</f>
        <v>115.77749924677295</v>
      </c>
      <c r="AL54" s="12">
        <f t="shared" ref="AL54" si="131">ABS(AL51*((((($D$26-((((AL49*0.950212931632136)*AL8)/AL38)*AL9))/AL47)*0.950212931632136)*AL8)/AL38))+AL53</f>
        <v>208.64753946373366</v>
      </c>
      <c r="AM54" s="12">
        <f t="shared" ref="AM54" si="132">ABS(AM51*((((($D$26-((((AM49*0.950212931632136)*AM8)/AM38)*AM9))/AM47)*0.950212931632136)*AM8)/AM38))+AM53</f>
        <v>143.76019500762962</v>
      </c>
      <c r="AN54" s="12">
        <f t="shared" ref="AN54" si="133">ABS(AN51*((((($D$26-((((AN49*0.950212931632136)*AN8)/AN38)*AN9))/AN47)*0.950212931632136)*AN8)/AN38))+AN53</f>
        <v>280.02055464106564</v>
      </c>
      <c r="AO54" s="12">
        <f t="shared" ref="AO54" si="134">ABS(AO51*((((($D$26-((((AO49*0.950212931632136)*AO8)/AO38)*AO9))/AO47)*0.950212931632136)*AO8)/AO38))+AO53</f>
        <v>69.061435548463294</v>
      </c>
      <c r="AP54" s="12">
        <f t="shared" ref="AP54" si="135">ABS(AP51*((((($D$26-((((AP49*0.950212931632136)*AP8)/AP38)*AP9))/AP47)*0.950212931632136)*AP8)/AP38))+AP53</f>
        <v>108.38194018063402</v>
      </c>
      <c r="AQ54" s="12">
        <f t="shared" ref="AQ54" si="136">ABS(AQ51*((((($D$26-((((AQ49*0.950212931632136)*AQ8)/AQ38)*AQ9))/AQ47)*0.950212931632136)*AQ8)/AQ38))+AQ53</f>
        <v>149.80732581341317</v>
      </c>
      <c r="AR54" s="12">
        <f t="shared" ref="AR54" si="137">ABS(AR51*((((($D$26-((((AR49*0.950212931632136)*AR8)/AR38)*AR9))/AR47)*0.950212931632136)*AR8)/AR38))+AR53</f>
        <v>140.30043452181025</v>
      </c>
      <c r="AS54" s="12">
        <f t="shared" ref="AS54" si="138">ABS(AS51*((((($D$26-((((AS49*0.950212931632136)*AS8)/AS38)*AS9))/AS47)*0.950212931632136)*AS8)/AS38))+AS53</f>
        <v>80.291539823385619</v>
      </c>
      <c r="AT54" s="12">
        <f t="shared" ref="AT54" si="139">ABS(AT51*((((($D$26-((((AT49*0.950212931632136)*AT8)/AT38)*AT9))/AT47)*0.950212931632136)*AT8)/AT38))+AT53</f>
        <v>97.456085594081344</v>
      </c>
      <c r="AU54" s="12">
        <f t="shared" ref="AU54" si="140">ABS(AU51*((((($D$26-((((AU49*0.950212931632136)*AU8)/AU38)*AU9))/AU47)*0.950212931632136)*AU8)/AU38))+AU53</f>
        <v>74.230056148268901</v>
      </c>
      <c r="AV54" s="12">
        <f t="shared" ref="AV54" si="141">ABS(AV51*((((($D$26-((((AV49*0.950212931632136)*AV8)/AV38)*AV9))/AV47)*0.950212931632136)*AV8)/AV38))+AV53</f>
        <v>180.38412948924491</v>
      </c>
      <c r="AW54" s="12">
        <f t="shared" ref="AW54" si="142">ABS(AW51*((((($D$26-((((AW49*0.950212931632136)*AW8)/AW38)*AW9))/AW47)*0.950212931632136)*AW8)/AW38))+AW53</f>
        <v>240.59890529610121</v>
      </c>
      <c r="AX54" s="12">
        <f t="shared" ref="AX54" si="143">ABS(AX51*((((($D$26-((((AX49*0.950212931632136)*AX8)/AX38)*AX9))/AX47)*0.950212931632136)*AX8)/AX38))+AX53</f>
        <v>234.17593631448887</v>
      </c>
      <c r="AY54" s="12">
        <f t="shared" ref="AY54" si="144">ABS(AY51*((((($D$26-((((AY49*0.950212931632136)*AY8)/AY38)*AY9))/AY47)*0.950212931632136)*AY8)/AY38))+AY53</f>
        <v>185.54780316979242</v>
      </c>
      <c r="AZ54" s="12">
        <f t="shared" ref="AZ54" si="145">ABS(AZ51*((((($D$26-((((AZ49*0.950212931632136)*AZ8)/AZ38)*AZ9))/AZ47)*0.950212931632136)*AZ8)/AZ38))+AZ53</f>
        <v>144.66965555931199</v>
      </c>
      <c r="BA54" s="12">
        <f t="shared" ref="BA54" si="146">ABS(BA51*((((($D$26-((((BA49*0.950212931632136)*BA8)/BA38)*BA9))/BA47)*0.950212931632136)*BA8)/BA38))+BA53</f>
        <v>165.21124979290187</v>
      </c>
      <c r="BB54" s="12">
        <f t="shared" ref="BB54" si="147">ABS(BB51*((((($D$26-((((BB49*0.950212931632136)*BB8)/BB38)*BB9))/BB47)*0.950212931632136)*BB8)/BB38))+BB53</f>
        <v>61.754466261284207</v>
      </c>
      <c r="BC54" s="12">
        <f t="shared" ref="BC54" si="148">ABS(BC51*((((($D$26-((((BC49*0.950212931632136)*BC8)/BC38)*BC9))/BC47)*0.950212931632136)*BC8)/BC38))+BC53</f>
        <v>85.476654076914571</v>
      </c>
      <c r="BD54" s="12">
        <f t="shared" ref="BD54" si="149">ABS(BD51*((((($D$26-((((BD49*0.950212931632136)*BD8)/BD38)*BD9))/BD47)*0.950212931632136)*BD8)/BD38))+BD53</f>
        <v>91.385628386032977</v>
      </c>
      <c r="BE54" s="203">
        <f t="shared" ref="BE54" si="150">ABS(BE51*((((($D$26-((((BE49*0.950212931632136)*BE8)/BE38)*BE9))/BE47)*0.950212931632136)*BE8)/BE38))+BE53</f>
        <v>101.830123211364</v>
      </c>
      <c r="BG54" s="14" t="s">
        <v>301</v>
      </c>
    </row>
    <row r="55" spans="1:59" ht="12.75" thickBot="1">
      <c r="A55" s="226" t="s">
        <v>252</v>
      </c>
      <c r="B55" s="214" t="s">
        <v>103</v>
      </c>
      <c r="C55" s="214">
        <f>ABS(C51*((((($D$26-((((C49*0.981684361111266)*C8)/C38)*C9))/C47)*0.981684361111266)*C8)/C38))+C54</f>
        <v>2.025957377992965E-4</v>
      </c>
      <c r="D55" s="214">
        <f t="shared" ref="D55:S55" si="151">ABS(D51*((((($D$26-((((D49*0.981684361111266)*D8)/D38)*D9))/D47)*0.981684361111266)*D8)/D38))+D54</f>
        <v>4.2846923589321388E-4</v>
      </c>
      <c r="E55" s="214">
        <f t="shared" si="151"/>
        <v>6.4101462065376707E-4</v>
      </c>
      <c r="F55" s="214">
        <f t="shared" si="151"/>
        <v>1.41146076337122E-3</v>
      </c>
      <c r="G55" s="214">
        <f t="shared" si="151"/>
        <v>2.8758081338388967E-2</v>
      </c>
      <c r="H55" s="214">
        <f t="shared" si="151"/>
        <v>3.2124657739350984E-2</v>
      </c>
      <c r="I55" s="214">
        <f t="shared" si="151"/>
        <v>2.0604433593905545E-2</v>
      </c>
      <c r="J55" s="214">
        <f t="shared" si="151"/>
        <v>6.6079347989179263E-2</v>
      </c>
      <c r="K55" s="214">
        <f t="shared" si="151"/>
        <v>0.31336786163023311</v>
      </c>
      <c r="L55" s="214">
        <f t="shared" si="151"/>
        <v>0.48089642806135069</v>
      </c>
      <c r="M55" s="214">
        <f t="shared" si="151"/>
        <v>4.7777842755181839</v>
      </c>
      <c r="N55" s="214">
        <f t="shared" si="151"/>
        <v>6.6547217725036028</v>
      </c>
      <c r="O55" s="214">
        <f t="shared" si="151"/>
        <v>5.814416875900565</v>
      </c>
      <c r="P55" s="214">
        <f t="shared" si="151"/>
        <v>0.70472494695078391</v>
      </c>
      <c r="Q55" s="214">
        <f t="shared" si="151"/>
        <v>16.980286807981898</v>
      </c>
      <c r="R55" s="214">
        <f t="shared" si="151"/>
        <v>15.130508047967213</v>
      </c>
      <c r="S55" s="214">
        <f t="shared" si="151"/>
        <v>14.337805437978478</v>
      </c>
      <c r="T55" s="214">
        <f t="shared" ref="T55" si="152">ABS(T51*((((($D$26-((((T49*0.981684361111266)*T8)/T38)*T9))/T47)*0.981684361111266)*T8)/T38))+T54</f>
        <v>75.351693586466084</v>
      </c>
      <c r="U55" s="214">
        <f t="shared" ref="U55" si="153">ABS(U51*((((($D$26-((((U49*0.981684361111266)*U8)/U38)*U9))/U47)*0.981684361111266)*U8)/U38))+U54</f>
        <v>22.258408723694991</v>
      </c>
      <c r="V55" s="214">
        <f t="shared" ref="V55" si="154">ABS(V51*((((($D$26-((((V49*0.981684361111266)*V8)/V38)*V9))/V47)*0.981684361111266)*V8)/V38))+V54</f>
        <v>118.31640287663035</v>
      </c>
      <c r="W55" s="214">
        <f t="shared" ref="W55" si="155">ABS(W51*((((($D$26-((((W49*0.981684361111266)*W8)/W38)*W9))/W47)*0.981684361111266)*W8)/W38))+W54</f>
        <v>111.12444381129558</v>
      </c>
      <c r="X55" s="214">
        <f t="shared" ref="X55" si="156">ABS(X51*((((($D$26-((((X49*0.981684361111266)*X8)/X38)*X9))/X47)*0.981684361111266)*X8)/X38))+X54</f>
        <v>80.182480826372</v>
      </c>
      <c r="Y55" s="214">
        <f t="shared" ref="Y55" si="157">ABS(Y51*((((($D$26-((((Y49*0.981684361111266)*Y8)/Y38)*Y9))/Y47)*0.981684361111266)*Y8)/Y38))+Y54</f>
        <v>99.327001496946124</v>
      </c>
      <c r="Z55" s="214">
        <f t="shared" ref="Z55" si="158">ABS(Z51*((((($D$26-((((Z49*0.981684361111266)*Z8)/Z38)*Z9))/Z47)*0.981684361111266)*Z8)/Z38))+Z54</f>
        <v>15.597690363452259</v>
      </c>
      <c r="AA55" s="214">
        <f t="shared" ref="AA55" si="159">ABS(AA51*((((($D$26-((((AA49*0.981684361111266)*AA8)/AA38)*AA9))/AA47)*0.981684361111266)*AA8)/AA38))+AA54</f>
        <v>51.92507313892137</v>
      </c>
      <c r="AB55" s="214">
        <f t="shared" ref="AB55" si="160">ABS(AB51*((((($D$26-((((AB49*0.981684361111266)*AB8)/AB38)*AB9))/AB47)*0.981684361111266)*AB8)/AB38))+AB54</f>
        <v>44.135752959375147</v>
      </c>
      <c r="AC55" s="214">
        <f t="shared" ref="AC55" si="161">ABS(AC51*((((($D$26-((((AC49*0.981684361111266)*AC8)/AC38)*AC9))/AC47)*0.981684361111266)*AC8)/AC38))+AC54</f>
        <v>37.591736678260183</v>
      </c>
      <c r="AD55" s="214">
        <f t="shared" ref="AD55" si="162">ABS(AD51*((((($D$26-((((AD49*0.981684361111266)*AD8)/AD38)*AD9))/AD47)*0.981684361111266)*AD8)/AD38))+AD54</f>
        <v>114.26327763906909</v>
      </c>
      <c r="AE55" s="214">
        <f t="shared" ref="AE55" si="163">ABS(AE51*((((($D$26-((((AE49*0.981684361111266)*AE8)/AE38)*AE9))/AE47)*0.981684361111266)*AE8)/AE38))+AE54</f>
        <v>92.629544080454636</v>
      </c>
      <c r="AF55" s="214">
        <f t="shared" ref="AF55" si="164">ABS(AF51*((((($D$26-((((AF49*0.981684361111266)*AF8)/AF38)*AF9))/AF47)*0.981684361111266)*AF8)/AF38))+AF54</f>
        <v>74.877839214441167</v>
      </c>
      <c r="AG55" s="214">
        <f t="shared" ref="AG55" si="165">ABS(AG51*((((($D$26-((((AG49*0.981684361111266)*AG8)/AG38)*AG9))/AG47)*0.981684361111266)*AG8)/AG38))+AG54</f>
        <v>95.740112178162192</v>
      </c>
      <c r="AH55" s="214">
        <f t="shared" ref="AH55" si="166">ABS(AH51*((((($D$26-((((AH49*0.981684361111266)*AH8)/AH38)*AH9))/AH47)*0.981684361111266)*AH8)/AH38))+AH54</f>
        <v>60.928412935412304</v>
      </c>
      <c r="AI55" s="214">
        <f t="shared" ref="AI55" si="167">ABS(AI51*((((($D$26-((((AI49*0.981684361111266)*AI8)/AI38)*AI9))/AI47)*0.981684361111266)*AI8)/AI38))+AI54</f>
        <v>48.030791264822277</v>
      </c>
      <c r="AJ55" s="214">
        <f t="shared" ref="AJ55" si="168">ABS(AJ51*((((($D$26-((((AJ49*0.981684361111266)*AJ8)/AJ38)*AJ9))/AJ47)*0.981684361111266)*AJ8)/AJ38))+AJ54</f>
        <v>39.289487355227187</v>
      </c>
      <c r="AK55" s="214">
        <f t="shared" ref="AK55" si="169">ABS(AK51*((((($D$26-((((AK49*0.981684361111266)*AK8)/AK38)*AK9))/AK47)*0.981684361111266)*AK8)/AK38))+AK54</f>
        <v>170.57353281228211</v>
      </c>
      <c r="AL55" s="214">
        <f t="shared" ref="AL55" si="170">ABS(AL51*((((($D$26-((((AL49*0.981684361111266)*AL8)/AL38)*AL9))/AL47)*0.981684361111266)*AL8)/AL38))+AL54</f>
        <v>306.94611566927369</v>
      </c>
      <c r="AM55" s="214">
        <f t="shared" ref="AM55" si="171">ABS(AM51*((((($D$26-((((AM49*0.981684361111266)*AM8)/AM38)*AM9))/AM47)*0.981684361111266)*AM8)/AM38))+AM54</f>
        <v>211.49298201875513</v>
      </c>
      <c r="AN55" s="214">
        <f t="shared" ref="AN55" si="172">ABS(AN51*((((($D$26-((((AN49*0.981684361111266)*AN8)/AN38)*AN9))/AN47)*0.981684361111266)*AN8)/AN38))+AN54</f>
        <v>411.90209930745209</v>
      </c>
      <c r="AO55" s="214">
        <f t="shared" ref="AO55" si="173">ABS(AO51*((((($D$26-((((AO49*0.981684361111266)*AO8)/AO38)*AO9))/AO47)*0.981684361111266)*AO8)/AO38))+AO54</f>
        <v>101.65598468358885</v>
      </c>
      <c r="AP55" s="214">
        <f t="shared" ref="AP55" si="174">ABS(AP51*((((($D$26-((((AP49*0.981684361111266)*AP8)/AP38)*AP9))/AP47)*0.981684361111266)*AP8)/AP38))+AP54</f>
        <v>159.69833409434315</v>
      </c>
      <c r="AQ55" s="214">
        <f t="shared" ref="AQ55" si="175">ABS(AQ51*((((($D$26-((((AQ49*0.981684361111266)*AQ8)/AQ38)*AQ9))/AQ47)*0.981684361111266)*AQ8)/AQ38))+AQ54</f>
        <v>220.53482969394952</v>
      </c>
      <c r="AR55" s="214">
        <f t="shared" ref="AR55" si="176">ABS(AR51*((((($D$26-((((AR49*0.981684361111266)*AR8)/AR38)*AR9))/AR47)*0.981684361111266)*AR8)/AR38))+AR54</f>
        <v>206.50098458171902</v>
      </c>
      <c r="AS55" s="214">
        <f t="shared" ref="AS55" si="177">ABS(AS51*((((($D$26-((((AS49*0.981684361111266)*AS8)/AS38)*AS9))/AS47)*0.981684361111266)*AS8)/AS38))+AS54</f>
        <v>118.36351144191516</v>
      </c>
      <c r="AT55" s="214">
        <f t="shared" ref="AT55" si="178">ABS(AT51*((((($D$26-((((AT49*0.981684361111266)*AT8)/AT38)*AT9))/AT47)*0.981684361111266)*AT8)/AT38))+AT54</f>
        <v>143.50657143369429</v>
      </c>
      <c r="AU55" s="214">
        <f t="shared" ref="AU55" si="179">ABS(AU51*((((($D$26-((((AU49*0.981684361111266)*AU8)/AU38)*AU9))/AU47)*0.981684361111266)*AU8)/AU38))+AU54</f>
        <v>109.30082116334847</v>
      </c>
      <c r="AV55" s="214">
        <f t="shared" ref="AV55" si="180">ABS(AV51*((((($D$26-((((AV49*0.981684361111266)*AV8)/AV38)*AV9))/AV47)*0.981684361111266)*AV8)/AV38))+AV54</f>
        <v>265.62353482448759</v>
      </c>
      <c r="AW55" s="214">
        <f t="shared" ref="AW55" si="181">ABS(AW51*((((($D$26-((((AW49*0.981684361111266)*AW8)/AW38)*AW9))/AW47)*0.981684361111266)*AW8)/AW38))+AW54</f>
        <v>354.06236734979012</v>
      </c>
      <c r="AX55" s="214">
        <f t="shared" ref="AX55" si="182">ABS(AX51*((((($D$26-((((AX49*0.981684361111266)*AX8)/AX38)*AX9))/AX47)*0.981684361111266)*AX8)/AX38))+AX54</f>
        <v>344.55186909773624</v>
      </c>
      <c r="AY55" s="214">
        <f t="shared" ref="AY55" si="183">ABS(AY51*((((($D$26-((((AY49*0.981684361111266)*AY8)/AY38)*AY9))/AY47)*0.981684361111266)*AY8)/AY38))+AY54</f>
        <v>273.16108413742899</v>
      </c>
      <c r="AZ55" s="214">
        <f t="shared" ref="AZ55" si="184">ABS(AZ51*((((($D$26-((((AZ49*0.981684361111266)*AZ8)/AZ38)*AZ9))/AZ47)*0.981684361111266)*AZ8)/AZ38))+AZ54</f>
        <v>213.07845579034523</v>
      </c>
      <c r="BA55" s="214">
        <f t="shared" ref="BA55" si="185">ABS(BA51*((((($D$26-((((BA49*0.981684361111266)*BA8)/BA38)*BA9))/BA47)*0.981684361111266)*BA8)/BA38))+BA54</f>
        <v>243.40597634025161</v>
      </c>
      <c r="BB55" s="214">
        <f t="shared" ref="BB55" si="186">ABS(BB51*((((($D$26-((((BB49*0.981684361111266)*BB8)/BB38)*BB9))/BB47)*0.981684361111266)*BB8)/BB38))+BB54</f>
        <v>91.375703418425459</v>
      </c>
      <c r="BC55" s="214">
        <f t="shared" ref="BC55" si="187">ABS(BC51*((((($D$26-((((BC49*0.981684361111266)*BC8)/BC38)*BC9))/BC47)*0.981684361111266)*BC8)/BC38))+BC54</f>
        <v>126.10500222045168</v>
      </c>
      <c r="BD55" s="214">
        <f t="shared" ref="BD55" si="188">ABS(BD51*((((($D$26-((((BD49*0.981684361111266)*BD8)/BD38)*BD9))/BD47)*0.981684361111266)*BD8)/BD38))+BD54</f>
        <v>134.70084368819164</v>
      </c>
      <c r="BE55" s="213">
        <f t="shared" ref="BE55" si="189">ABS(BE51*((((($D$26-((((BE49*0.981684361111266)*BE8)/BE38)*BE9))/BE47)*0.981684361111266)*BE8)/BE38))+BE54</f>
        <v>150.00586020204406</v>
      </c>
      <c r="BG55" s="14" t="s">
        <v>302</v>
      </c>
    </row>
    <row r="56" spans="1:59" s="223" customFormat="1" ht="13.5" customHeight="1">
      <c r="A56" s="11"/>
    </row>
    <row r="57" spans="1:59" ht="13.5" thickBot="1">
      <c r="A57" s="227" t="s">
        <v>167</v>
      </c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9" s="223" customFormat="1" ht="13.5" customHeight="1">
      <c r="A58" s="186" t="s">
        <v>303</v>
      </c>
      <c r="B58" s="199"/>
      <c r="C58" s="199">
        <f>IF(C45&gt;1,0,1)</f>
        <v>0</v>
      </c>
      <c r="D58" s="199">
        <f t="shared" ref="D58:AH58" si="190">IF(D45&gt;1,0,1)</f>
        <v>0</v>
      </c>
      <c r="E58" s="199">
        <f t="shared" si="190"/>
        <v>0</v>
      </c>
      <c r="F58" s="199">
        <f t="shared" si="190"/>
        <v>0</v>
      </c>
      <c r="G58" s="199">
        <f t="shared" si="190"/>
        <v>0</v>
      </c>
      <c r="H58" s="199">
        <f t="shared" si="190"/>
        <v>0</v>
      </c>
      <c r="I58" s="199">
        <f t="shared" si="190"/>
        <v>0</v>
      </c>
      <c r="J58" s="199">
        <f t="shared" si="190"/>
        <v>0</v>
      </c>
      <c r="K58" s="199">
        <f t="shared" si="190"/>
        <v>0</v>
      </c>
      <c r="L58" s="199">
        <f t="shared" si="190"/>
        <v>0</v>
      </c>
      <c r="M58" s="199">
        <f t="shared" si="190"/>
        <v>0</v>
      </c>
      <c r="N58" s="199">
        <f t="shared" si="190"/>
        <v>0</v>
      </c>
      <c r="O58" s="199">
        <f t="shared" si="190"/>
        <v>0</v>
      </c>
      <c r="P58" s="199">
        <f t="shared" si="190"/>
        <v>0</v>
      </c>
      <c r="Q58" s="199">
        <f t="shared" si="190"/>
        <v>0</v>
      </c>
      <c r="R58" s="199">
        <f t="shared" si="190"/>
        <v>1</v>
      </c>
      <c r="S58" s="199">
        <f t="shared" si="190"/>
        <v>1</v>
      </c>
      <c r="T58" s="199">
        <f t="shared" si="190"/>
        <v>0</v>
      </c>
      <c r="U58" s="199">
        <f t="shared" si="190"/>
        <v>0</v>
      </c>
      <c r="V58" s="199">
        <f t="shared" si="190"/>
        <v>1</v>
      </c>
      <c r="W58" s="199">
        <f t="shared" si="190"/>
        <v>1</v>
      </c>
      <c r="X58" s="199">
        <f t="shared" si="190"/>
        <v>1</v>
      </c>
      <c r="Y58" s="199">
        <f t="shared" si="190"/>
        <v>1</v>
      </c>
      <c r="Z58" s="199">
        <f t="shared" si="190"/>
        <v>1</v>
      </c>
      <c r="AA58" s="199">
        <f t="shared" si="190"/>
        <v>1</v>
      </c>
      <c r="AB58" s="199">
        <f t="shared" si="190"/>
        <v>1</v>
      </c>
      <c r="AC58" s="199">
        <f t="shared" si="190"/>
        <v>1</v>
      </c>
      <c r="AD58" s="199">
        <f t="shared" si="190"/>
        <v>1</v>
      </c>
      <c r="AE58" s="199">
        <f t="shared" si="190"/>
        <v>1</v>
      </c>
      <c r="AF58" s="199">
        <f t="shared" si="190"/>
        <v>1</v>
      </c>
      <c r="AG58" s="199">
        <f t="shared" si="190"/>
        <v>1</v>
      </c>
      <c r="AH58" s="199">
        <f t="shared" si="190"/>
        <v>1</v>
      </c>
      <c r="AI58" s="199">
        <f t="shared" ref="AI58:BE58" si="191">IF(AI45&gt;1,0,1)</f>
        <v>1</v>
      </c>
      <c r="AJ58" s="199">
        <f t="shared" si="191"/>
        <v>1</v>
      </c>
      <c r="AK58" s="199">
        <f t="shared" si="191"/>
        <v>1</v>
      </c>
      <c r="AL58" s="199">
        <f t="shared" si="191"/>
        <v>1</v>
      </c>
      <c r="AM58" s="199">
        <f t="shared" si="191"/>
        <v>1</v>
      </c>
      <c r="AN58" s="199">
        <f t="shared" si="191"/>
        <v>1</v>
      </c>
      <c r="AO58" s="199">
        <f t="shared" si="191"/>
        <v>1</v>
      </c>
      <c r="AP58" s="199">
        <f t="shared" si="191"/>
        <v>1</v>
      </c>
      <c r="AQ58" s="199">
        <f t="shared" si="191"/>
        <v>1</v>
      </c>
      <c r="AR58" s="199">
        <f t="shared" si="191"/>
        <v>1</v>
      </c>
      <c r="AS58" s="199">
        <f t="shared" si="191"/>
        <v>1</v>
      </c>
      <c r="AT58" s="199">
        <f t="shared" si="191"/>
        <v>1</v>
      </c>
      <c r="AU58" s="199">
        <f t="shared" si="191"/>
        <v>1</v>
      </c>
      <c r="AV58" s="199">
        <f t="shared" si="191"/>
        <v>1</v>
      </c>
      <c r="AW58" s="199">
        <f t="shared" si="191"/>
        <v>1</v>
      </c>
      <c r="AX58" s="199">
        <f t="shared" si="191"/>
        <v>1</v>
      </c>
      <c r="AY58" s="199">
        <f t="shared" si="191"/>
        <v>1</v>
      </c>
      <c r="AZ58" s="199">
        <f t="shared" si="191"/>
        <v>1</v>
      </c>
      <c r="BA58" s="199">
        <f t="shared" si="191"/>
        <v>1</v>
      </c>
      <c r="BB58" s="199">
        <f t="shared" si="191"/>
        <v>1</v>
      </c>
      <c r="BC58" s="199">
        <f t="shared" si="191"/>
        <v>1</v>
      </c>
      <c r="BD58" s="199">
        <f t="shared" si="191"/>
        <v>1</v>
      </c>
      <c r="BE58" s="192">
        <f t="shared" si="191"/>
        <v>1</v>
      </c>
      <c r="BG58" s="223" t="s">
        <v>304</v>
      </c>
    </row>
    <row r="59" spans="1:59" s="223" customFormat="1" ht="13.5" customHeight="1">
      <c r="A59" s="202" t="s">
        <v>247</v>
      </c>
      <c r="B59" s="11"/>
      <c r="C59" s="11">
        <f t="shared" ref="C59:AH59" si="192">IF(C48&gt;C50,0,1)</f>
        <v>0</v>
      </c>
      <c r="D59" s="11">
        <f t="shared" si="192"/>
        <v>0</v>
      </c>
      <c r="E59" s="11">
        <f t="shared" si="192"/>
        <v>0</v>
      </c>
      <c r="F59" s="11">
        <f t="shared" si="192"/>
        <v>0</v>
      </c>
      <c r="G59" s="11">
        <f t="shared" si="192"/>
        <v>0</v>
      </c>
      <c r="H59" s="11">
        <f t="shared" si="192"/>
        <v>0</v>
      </c>
      <c r="I59" s="11">
        <f t="shared" si="192"/>
        <v>0</v>
      </c>
      <c r="J59" s="11">
        <f t="shared" si="192"/>
        <v>0</v>
      </c>
      <c r="K59" s="11">
        <f t="shared" si="192"/>
        <v>0</v>
      </c>
      <c r="L59" s="11">
        <f t="shared" si="192"/>
        <v>0</v>
      </c>
      <c r="M59" s="11">
        <f t="shared" si="192"/>
        <v>0</v>
      </c>
      <c r="N59" s="11">
        <f t="shared" si="192"/>
        <v>0</v>
      </c>
      <c r="O59" s="11">
        <f t="shared" si="192"/>
        <v>0</v>
      </c>
      <c r="P59" s="11">
        <f t="shared" si="192"/>
        <v>0</v>
      </c>
      <c r="Q59" s="11">
        <f t="shared" si="192"/>
        <v>0</v>
      </c>
      <c r="R59" s="11">
        <f t="shared" si="192"/>
        <v>0</v>
      </c>
      <c r="S59" s="11">
        <f t="shared" si="192"/>
        <v>0</v>
      </c>
      <c r="T59" s="11">
        <f t="shared" si="192"/>
        <v>0</v>
      </c>
      <c r="U59" s="11">
        <f t="shared" si="192"/>
        <v>0</v>
      </c>
      <c r="V59" s="11">
        <f t="shared" si="192"/>
        <v>0</v>
      </c>
      <c r="W59" s="11">
        <f t="shared" si="192"/>
        <v>1</v>
      </c>
      <c r="X59" s="11">
        <f t="shared" si="192"/>
        <v>1</v>
      </c>
      <c r="Y59" s="11">
        <f t="shared" si="192"/>
        <v>1</v>
      </c>
      <c r="Z59" s="11">
        <f t="shared" si="192"/>
        <v>0</v>
      </c>
      <c r="AA59" s="11">
        <f t="shared" si="192"/>
        <v>0</v>
      </c>
      <c r="AB59" s="11">
        <f t="shared" si="192"/>
        <v>0</v>
      </c>
      <c r="AC59" s="11">
        <f t="shared" si="192"/>
        <v>1</v>
      </c>
      <c r="AD59" s="11">
        <f t="shared" si="192"/>
        <v>0</v>
      </c>
      <c r="AE59" s="11">
        <f t="shared" si="192"/>
        <v>1</v>
      </c>
      <c r="AF59" s="11">
        <f t="shared" si="192"/>
        <v>1</v>
      </c>
      <c r="AG59" s="11">
        <f t="shared" si="192"/>
        <v>1</v>
      </c>
      <c r="AH59" s="11">
        <f t="shared" si="192"/>
        <v>0</v>
      </c>
      <c r="AI59" s="11">
        <f t="shared" ref="AI59:BE59" si="193">IF(AI48&gt;AI50,0,1)</f>
        <v>1</v>
      </c>
      <c r="AJ59" s="11">
        <f t="shared" si="193"/>
        <v>1</v>
      </c>
      <c r="AK59" s="11">
        <f t="shared" si="193"/>
        <v>0</v>
      </c>
      <c r="AL59" s="11">
        <f t="shared" si="193"/>
        <v>1</v>
      </c>
      <c r="AM59" s="11">
        <f t="shared" si="193"/>
        <v>1</v>
      </c>
      <c r="AN59" s="11">
        <f t="shared" si="193"/>
        <v>1</v>
      </c>
      <c r="AO59" s="11">
        <f t="shared" si="193"/>
        <v>1</v>
      </c>
      <c r="AP59" s="11">
        <f t="shared" si="193"/>
        <v>1</v>
      </c>
      <c r="AQ59" s="11">
        <f t="shared" si="193"/>
        <v>1</v>
      </c>
      <c r="AR59" s="11">
        <f t="shared" si="193"/>
        <v>1</v>
      </c>
      <c r="AS59" s="11">
        <f t="shared" si="193"/>
        <v>1</v>
      </c>
      <c r="AT59" s="11">
        <f t="shared" si="193"/>
        <v>1</v>
      </c>
      <c r="AU59" s="11">
        <f t="shared" si="193"/>
        <v>1</v>
      </c>
      <c r="AV59" s="11">
        <f t="shared" si="193"/>
        <v>1</v>
      </c>
      <c r="AW59" s="11">
        <f t="shared" si="193"/>
        <v>1</v>
      </c>
      <c r="AX59" s="11">
        <f t="shared" si="193"/>
        <v>1</v>
      </c>
      <c r="AY59" s="11">
        <f t="shared" si="193"/>
        <v>1</v>
      </c>
      <c r="AZ59" s="11">
        <f t="shared" si="193"/>
        <v>1</v>
      </c>
      <c r="BA59" s="11">
        <f t="shared" si="193"/>
        <v>1</v>
      </c>
      <c r="BB59" s="11">
        <f t="shared" si="193"/>
        <v>1</v>
      </c>
      <c r="BC59" s="11">
        <f t="shared" si="193"/>
        <v>1</v>
      </c>
      <c r="BD59" s="11">
        <f t="shared" si="193"/>
        <v>1</v>
      </c>
      <c r="BE59" s="191">
        <f t="shared" si="193"/>
        <v>1</v>
      </c>
      <c r="BG59" s="223" t="s">
        <v>305</v>
      </c>
    </row>
    <row r="60" spans="1:59" s="223" customFormat="1" ht="13.5" customHeight="1">
      <c r="A60" s="202" t="s">
        <v>253</v>
      </c>
      <c r="B60" s="202" t="s">
        <v>253</v>
      </c>
      <c r="C60" s="11">
        <f t="shared" ref="C60:AH60" si="194">IF(0.050329212104487*(((2*PI())/$S$29)*C$51-SIN(((2*PI())/$S$29)*C$51))&lt;C52,1,0)</f>
        <v>1</v>
      </c>
      <c r="D60" s="11">
        <f t="shared" si="194"/>
        <v>1</v>
      </c>
      <c r="E60" s="11">
        <f t="shared" si="194"/>
        <v>1</v>
      </c>
      <c r="F60" s="11">
        <f t="shared" si="194"/>
        <v>1</v>
      </c>
      <c r="G60" s="11">
        <f t="shared" si="194"/>
        <v>1</v>
      </c>
      <c r="H60" s="11">
        <f t="shared" si="194"/>
        <v>1</v>
      </c>
      <c r="I60" s="11">
        <f t="shared" si="194"/>
        <v>1</v>
      </c>
      <c r="J60" s="11">
        <f t="shared" si="194"/>
        <v>1</v>
      </c>
      <c r="K60" s="11">
        <f t="shared" si="194"/>
        <v>1</v>
      </c>
      <c r="L60" s="11">
        <f t="shared" si="194"/>
        <v>1</v>
      </c>
      <c r="M60" s="11">
        <f t="shared" si="194"/>
        <v>1</v>
      </c>
      <c r="N60" s="11">
        <f t="shared" si="194"/>
        <v>1</v>
      </c>
      <c r="O60" s="11">
        <f t="shared" si="194"/>
        <v>1</v>
      </c>
      <c r="P60" s="11">
        <f t="shared" si="194"/>
        <v>1</v>
      </c>
      <c r="Q60" s="11">
        <f t="shared" si="194"/>
        <v>1</v>
      </c>
      <c r="R60" s="11">
        <f t="shared" si="194"/>
        <v>1</v>
      </c>
      <c r="S60" s="11">
        <f t="shared" si="194"/>
        <v>1</v>
      </c>
      <c r="T60" s="11">
        <f t="shared" si="194"/>
        <v>1</v>
      </c>
      <c r="U60" s="11">
        <f t="shared" si="194"/>
        <v>1</v>
      </c>
      <c r="V60" s="11">
        <f t="shared" si="194"/>
        <v>1</v>
      </c>
      <c r="W60" s="11">
        <f t="shared" si="194"/>
        <v>1</v>
      </c>
      <c r="X60" s="11">
        <f t="shared" si="194"/>
        <v>1</v>
      </c>
      <c r="Y60" s="11">
        <f t="shared" si="194"/>
        <v>1</v>
      </c>
      <c r="Z60" s="11">
        <f t="shared" si="194"/>
        <v>1</v>
      </c>
      <c r="AA60" s="11">
        <f t="shared" si="194"/>
        <v>1</v>
      </c>
      <c r="AB60" s="11">
        <f t="shared" si="194"/>
        <v>1</v>
      </c>
      <c r="AC60" s="11">
        <f t="shared" si="194"/>
        <v>1</v>
      </c>
      <c r="AD60" s="11">
        <f t="shared" si="194"/>
        <v>1</v>
      </c>
      <c r="AE60" s="11">
        <f t="shared" si="194"/>
        <v>1</v>
      </c>
      <c r="AF60" s="11">
        <f t="shared" si="194"/>
        <v>1</v>
      </c>
      <c r="AG60" s="11">
        <f t="shared" si="194"/>
        <v>1</v>
      </c>
      <c r="AH60" s="11">
        <f t="shared" si="194"/>
        <v>1</v>
      </c>
      <c r="AI60" s="11">
        <f t="shared" ref="AI60:BE60" si="195">IF(0.050329212104487*(((2*PI())/$S$29)*AI$51-SIN(((2*PI())/$S$29)*AI$51))&lt;AI52,1,0)</f>
        <v>1</v>
      </c>
      <c r="AJ60" s="11">
        <f t="shared" si="195"/>
        <v>1</v>
      </c>
      <c r="AK60" s="11">
        <f t="shared" si="195"/>
        <v>1</v>
      </c>
      <c r="AL60" s="11">
        <f t="shared" si="195"/>
        <v>1</v>
      </c>
      <c r="AM60" s="11">
        <f t="shared" si="195"/>
        <v>1</v>
      </c>
      <c r="AN60" s="11">
        <f t="shared" si="195"/>
        <v>1</v>
      </c>
      <c r="AO60" s="11">
        <f t="shared" si="195"/>
        <v>1</v>
      </c>
      <c r="AP60" s="11">
        <f t="shared" si="195"/>
        <v>1</v>
      </c>
      <c r="AQ60" s="11">
        <f t="shared" si="195"/>
        <v>1</v>
      </c>
      <c r="AR60" s="11">
        <f t="shared" si="195"/>
        <v>1</v>
      </c>
      <c r="AS60" s="11">
        <f t="shared" si="195"/>
        <v>1</v>
      </c>
      <c r="AT60" s="11">
        <f t="shared" si="195"/>
        <v>1</v>
      </c>
      <c r="AU60" s="11">
        <f t="shared" si="195"/>
        <v>1</v>
      </c>
      <c r="AV60" s="11">
        <f t="shared" si="195"/>
        <v>1</v>
      </c>
      <c r="AW60" s="11">
        <f t="shared" si="195"/>
        <v>1</v>
      </c>
      <c r="AX60" s="11">
        <f t="shared" si="195"/>
        <v>1</v>
      </c>
      <c r="AY60" s="11">
        <f t="shared" si="195"/>
        <v>1</v>
      </c>
      <c r="AZ60" s="11">
        <f t="shared" si="195"/>
        <v>1</v>
      </c>
      <c r="BA60" s="11">
        <f t="shared" si="195"/>
        <v>1</v>
      </c>
      <c r="BB60" s="11">
        <f t="shared" si="195"/>
        <v>1</v>
      </c>
      <c r="BC60" s="11">
        <f t="shared" si="195"/>
        <v>1</v>
      </c>
      <c r="BD60" s="11">
        <f t="shared" si="195"/>
        <v>1</v>
      </c>
      <c r="BE60" s="191">
        <f t="shared" si="195"/>
        <v>1</v>
      </c>
      <c r="BG60" s="223" t="s">
        <v>306</v>
      </c>
    </row>
    <row r="61" spans="1:59" s="223" customFormat="1" ht="13.5" customHeight="1">
      <c r="A61" s="202" t="s">
        <v>254</v>
      </c>
      <c r="B61" s="202" t="s">
        <v>254</v>
      </c>
      <c r="C61" s="11">
        <f t="shared" ref="C61:AH61" si="196">IF(0.050329212104487*(((2*PI())/$S$29)*(2*C$51)-SIN(((2*PI())/$S$29)*(2*C$51)))&lt;C53,1,0)</f>
        <v>1</v>
      </c>
      <c r="D61" s="11">
        <f t="shared" si="196"/>
        <v>1</v>
      </c>
      <c r="E61" s="11">
        <f t="shared" si="196"/>
        <v>1</v>
      </c>
      <c r="F61" s="11">
        <f t="shared" si="196"/>
        <v>1</v>
      </c>
      <c r="G61" s="11">
        <f t="shared" si="196"/>
        <v>1</v>
      </c>
      <c r="H61" s="11">
        <f t="shared" si="196"/>
        <v>1</v>
      </c>
      <c r="I61" s="11">
        <f t="shared" si="196"/>
        <v>1</v>
      </c>
      <c r="J61" s="11">
        <f t="shared" si="196"/>
        <v>1</v>
      </c>
      <c r="K61" s="11">
        <f t="shared" si="196"/>
        <v>1</v>
      </c>
      <c r="L61" s="11">
        <f t="shared" si="196"/>
        <v>1</v>
      </c>
      <c r="M61" s="11">
        <f t="shared" si="196"/>
        <v>1</v>
      </c>
      <c r="N61" s="11">
        <f t="shared" si="196"/>
        <v>1</v>
      </c>
      <c r="O61" s="11">
        <f t="shared" si="196"/>
        <v>1</v>
      </c>
      <c r="P61" s="11">
        <f t="shared" si="196"/>
        <v>1</v>
      </c>
      <c r="Q61" s="11">
        <f t="shared" si="196"/>
        <v>1</v>
      </c>
      <c r="R61" s="11">
        <f t="shared" si="196"/>
        <v>1</v>
      </c>
      <c r="S61" s="11">
        <f t="shared" si="196"/>
        <v>1</v>
      </c>
      <c r="T61" s="11">
        <f t="shared" si="196"/>
        <v>1</v>
      </c>
      <c r="U61" s="11">
        <f t="shared" si="196"/>
        <v>1</v>
      </c>
      <c r="V61" s="11">
        <f t="shared" si="196"/>
        <v>1</v>
      </c>
      <c r="W61" s="11">
        <f t="shared" si="196"/>
        <v>1</v>
      </c>
      <c r="X61" s="11">
        <f t="shared" si="196"/>
        <v>1</v>
      </c>
      <c r="Y61" s="11">
        <f t="shared" si="196"/>
        <v>1</v>
      </c>
      <c r="Z61" s="11">
        <f t="shared" si="196"/>
        <v>1</v>
      </c>
      <c r="AA61" s="11">
        <f t="shared" si="196"/>
        <v>1</v>
      </c>
      <c r="AB61" s="11">
        <f t="shared" si="196"/>
        <v>1</v>
      </c>
      <c r="AC61" s="11">
        <f t="shared" si="196"/>
        <v>1</v>
      </c>
      <c r="AD61" s="11">
        <f t="shared" si="196"/>
        <v>1</v>
      </c>
      <c r="AE61" s="11">
        <f t="shared" si="196"/>
        <v>1</v>
      </c>
      <c r="AF61" s="11">
        <f t="shared" si="196"/>
        <v>1</v>
      </c>
      <c r="AG61" s="11">
        <f t="shared" si="196"/>
        <v>1</v>
      </c>
      <c r="AH61" s="11">
        <f t="shared" si="196"/>
        <v>1</v>
      </c>
      <c r="AI61" s="11">
        <f t="shared" ref="AI61:BE61" si="197">IF(0.050329212104487*(((2*PI())/$S$29)*(2*AI$51)-SIN(((2*PI())/$S$29)*(2*AI$51)))&lt;AI53,1,0)</f>
        <v>1</v>
      </c>
      <c r="AJ61" s="11">
        <f t="shared" si="197"/>
        <v>1</v>
      </c>
      <c r="AK61" s="11">
        <f t="shared" si="197"/>
        <v>1</v>
      </c>
      <c r="AL61" s="11">
        <f t="shared" si="197"/>
        <v>1</v>
      </c>
      <c r="AM61" s="11">
        <f t="shared" si="197"/>
        <v>1</v>
      </c>
      <c r="AN61" s="11">
        <f t="shared" si="197"/>
        <v>1</v>
      </c>
      <c r="AO61" s="11">
        <f t="shared" si="197"/>
        <v>1</v>
      </c>
      <c r="AP61" s="11">
        <f t="shared" si="197"/>
        <v>1</v>
      </c>
      <c r="AQ61" s="11">
        <f t="shared" si="197"/>
        <v>1</v>
      </c>
      <c r="AR61" s="11">
        <f t="shared" si="197"/>
        <v>1</v>
      </c>
      <c r="AS61" s="11">
        <f t="shared" si="197"/>
        <v>1</v>
      </c>
      <c r="AT61" s="11">
        <f t="shared" si="197"/>
        <v>1</v>
      </c>
      <c r="AU61" s="11">
        <f t="shared" si="197"/>
        <v>1</v>
      </c>
      <c r="AV61" s="11">
        <f t="shared" si="197"/>
        <v>1</v>
      </c>
      <c r="AW61" s="11">
        <f t="shared" si="197"/>
        <v>1</v>
      </c>
      <c r="AX61" s="11">
        <f t="shared" si="197"/>
        <v>1</v>
      </c>
      <c r="AY61" s="11">
        <f t="shared" si="197"/>
        <v>1</v>
      </c>
      <c r="AZ61" s="11">
        <f t="shared" si="197"/>
        <v>1</v>
      </c>
      <c r="BA61" s="11">
        <f t="shared" si="197"/>
        <v>1</v>
      </c>
      <c r="BB61" s="11">
        <f t="shared" si="197"/>
        <v>1</v>
      </c>
      <c r="BC61" s="11">
        <f t="shared" si="197"/>
        <v>1</v>
      </c>
      <c r="BD61" s="11">
        <f t="shared" si="197"/>
        <v>1</v>
      </c>
      <c r="BE61" s="191">
        <f t="shared" si="197"/>
        <v>1</v>
      </c>
      <c r="BG61" s="223" t="s">
        <v>307</v>
      </c>
    </row>
    <row r="62" spans="1:59" s="223" customFormat="1" ht="13.5" customHeight="1">
      <c r="A62" s="202" t="s">
        <v>255</v>
      </c>
      <c r="B62" s="202" t="s">
        <v>255</v>
      </c>
      <c r="C62" s="11">
        <f t="shared" ref="C62:AH62" si="198">IF(0.050329212104487*(((2*PI())/$S$29)*(3*C$51)-SIN(((2*PI())/$S$29)*(3*C$51)))&lt;C54,1,0)</f>
        <v>1</v>
      </c>
      <c r="D62" s="11">
        <f t="shared" si="198"/>
        <v>1</v>
      </c>
      <c r="E62" s="11">
        <f t="shared" si="198"/>
        <v>1</v>
      </c>
      <c r="F62" s="11">
        <f t="shared" si="198"/>
        <v>1</v>
      </c>
      <c r="G62" s="11">
        <f t="shared" si="198"/>
        <v>1</v>
      </c>
      <c r="H62" s="11">
        <f t="shared" si="198"/>
        <v>1</v>
      </c>
      <c r="I62" s="11">
        <f t="shared" si="198"/>
        <v>1</v>
      </c>
      <c r="J62" s="11">
        <f t="shared" si="198"/>
        <v>1</v>
      </c>
      <c r="K62" s="11">
        <f t="shared" si="198"/>
        <v>1</v>
      </c>
      <c r="L62" s="11">
        <f t="shared" si="198"/>
        <v>1</v>
      </c>
      <c r="M62" s="11">
        <f t="shared" si="198"/>
        <v>1</v>
      </c>
      <c r="N62" s="11">
        <f t="shared" si="198"/>
        <v>1</v>
      </c>
      <c r="O62" s="11">
        <f t="shared" si="198"/>
        <v>1</v>
      </c>
      <c r="P62" s="11">
        <f t="shared" si="198"/>
        <v>1</v>
      </c>
      <c r="Q62" s="11">
        <f t="shared" si="198"/>
        <v>1</v>
      </c>
      <c r="R62" s="11">
        <f t="shared" si="198"/>
        <v>1</v>
      </c>
      <c r="S62" s="11">
        <f t="shared" si="198"/>
        <v>1</v>
      </c>
      <c r="T62" s="11">
        <f t="shared" si="198"/>
        <v>1</v>
      </c>
      <c r="U62" s="11">
        <f t="shared" si="198"/>
        <v>1</v>
      </c>
      <c r="V62" s="11">
        <f t="shared" si="198"/>
        <v>1</v>
      </c>
      <c r="W62" s="11">
        <f t="shared" si="198"/>
        <v>1</v>
      </c>
      <c r="X62" s="11">
        <f t="shared" si="198"/>
        <v>1</v>
      </c>
      <c r="Y62" s="11">
        <f t="shared" si="198"/>
        <v>1</v>
      </c>
      <c r="Z62" s="11">
        <f t="shared" si="198"/>
        <v>1</v>
      </c>
      <c r="AA62" s="11">
        <f t="shared" si="198"/>
        <v>1</v>
      </c>
      <c r="AB62" s="11">
        <f t="shared" si="198"/>
        <v>1</v>
      </c>
      <c r="AC62" s="11">
        <f t="shared" si="198"/>
        <v>1</v>
      </c>
      <c r="AD62" s="11">
        <f t="shared" si="198"/>
        <v>1</v>
      </c>
      <c r="AE62" s="11">
        <f t="shared" si="198"/>
        <v>1</v>
      </c>
      <c r="AF62" s="11">
        <f t="shared" si="198"/>
        <v>1</v>
      </c>
      <c r="AG62" s="11">
        <f t="shared" si="198"/>
        <v>1</v>
      </c>
      <c r="AH62" s="11">
        <f t="shared" si="198"/>
        <v>1</v>
      </c>
      <c r="AI62" s="11">
        <f t="shared" ref="AI62:BE62" si="199">IF(0.050329212104487*(((2*PI())/$S$29)*(3*AI$51)-SIN(((2*PI())/$S$29)*(3*AI$51)))&lt;AI54,1,0)</f>
        <v>1</v>
      </c>
      <c r="AJ62" s="11">
        <f t="shared" si="199"/>
        <v>1</v>
      </c>
      <c r="AK62" s="11">
        <f t="shared" si="199"/>
        <v>1</v>
      </c>
      <c r="AL62" s="11">
        <f t="shared" si="199"/>
        <v>1</v>
      </c>
      <c r="AM62" s="11">
        <f t="shared" si="199"/>
        <v>1</v>
      </c>
      <c r="AN62" s="11">
        <f t="shared" si="199"/>
        <v>1</v>
      </c>
      <c r="AO62" s="11">
        <f t="shared" si="199"/>
        <v>1</v>
      </c>
      <c r="AP62" s="11">
        <f t="shared" si="199"/>
        <v>1</v>
      </c>
      <c r="AQ62" s="11">
        <f t="shared" si="199"/>
        <v>1</v>
      </c>
      <c r="AR62" s="11">
        <f t="shared" si="199"/>
        <v>1</v>
      </c>
      <c r="AS62" s="11">
        <f t="shared" si="199"/>
        <v>1</v>
      </c>
      <c r="AT62" s="11">
        <f t="shared" si="199"/>
        <v>1</v>
      </c>
      <c r="AU62" s="11">
        <f t="shared" si="199"/>
        <v>1</v>
      </c>
      <c r="AV62" s="11">
        <f t="shared" si="199"/>
        <v>1</v>
      </c>
      <c r="AW62" s="11">
        <f t="shared" si="199"/>
        <v>1</v>
      </c>
      <c r="AX62" s="11">
        <f t="shared" si="199"/>
        <v>1</v>
      </c>
      <c r="AY62" s="11">
        <f t="shared" si="199"/>
        <v>1</v>
      </c>
      <c r="AZ62" s="11">
        <f t="shared" si="199"/>
        <v>1</v>
      </c>
      <c r="BA62" s="11">
        <f t="shared" si="199"/>
        <v>1</v>
      </c>
      <c r="BB62" s="11">
        <f t="shared" si="199"/>
        <v>1</v>
      </c>
      <c r="BC62" s="11">
        <f t="shared" si="199"/>
        <v>1</v>
      </c>
      <c r="BD62" s="11">
        <f t="shared" si="199"/>
        <v>1</v>
      </c>
      <c r="BE62" s="191">
        <f t="shared" si="199"/>
        <v>1</v>
      </c>
      <c r="BG62" s="223" t="s">
        <v>308</v>
      </c>
    </row>
    <row r="63" spans="1:59" s="223" customFormat="1" ht="13.5" customHeight="1">
      <c r="A63" s="202" t="s">
        <v>256</v>
      </c>
      <c r="B63" s="202" t="s">
        <v>256</v>
      </c>
      <c r="C63" s="11">
        <f t="shared" ref="C63:AH63" si="200">IF(0.050329212104487*(((2*PI())/$S$29)*(4*C$51)-SIN(((2*PI())/$S$29)*(4*C$51)))&lt;C55,1,0)</f>
        <v>1</v>
      </c>
      <c r="D63" s="11">
        <f t="shared" si="200"/>
        <v>1</v>
      </c>
      <c r="E63" s="11">
        <f t="shared" si="200"/>
        <v>1</v>
      </c>
      <c r="F63" s="11">
        <f t="shared" si="200"/>
        <v>1</v>
      </c>
      <c r="G63" s="11">
        <f t="shared" si="200"/>
        <v>1</v>
      </c>
      <c r="H63" s="11">
        <f t="shared" si="200"/>
        <v>1</v>
      </c>
      <c r="I63" s="11">
        <f t="shared" si="200"/>
        <v>1</v>
      </c>
      <c r="J63" s="11">
        <f t="shared" si="200"/>
        <v>1</v>
      </c>
      <c r="K63" s="11">
        <f t="shared" si="200"/>
        <v>1</v>
      </c>
      <c r="L63" s="11">
        <f t="shared" si="200"/>
        <v>1</v>
      </c>
      <c r="M63" s="11">
        <f t="shared" si="200"/>
        <v>1</v>
      </c>
      <c r="N63" s="11">
        <f t="shared" si="200"/>
        <v>1</v>
      </c>
      <c r="O63" s="11">
        <f t="shared" si="200"/>
        <v>1</v>
      </c>
      <c r="P63" s="11">
        <f t="shared" si="200"/>
        <v>1</v>
      </c>
      <c r="Q63" s="11">
        <f t="shared" si="200"/>
        <v>1</v>
      </c>
      <c r="R63" s="11">
        <f t="shared" si="200"/>
        <v>1</v>
      </c>
      <c r="S63" s="11">
        <f t="shared" si="200"/>
        <v>1</v>
      </c>
      <c r="T63" s="11">
        <f t="shared" si="200"/>
        <v>1</v>
      </c>
      <c r="U63" s="11">
        <f t="shared" si="200"/>
        <v>1</v>
      </c>
      <c r="V63" s="11">
        <f t="shared" si="200"/>
        <v>1</v>
      </c>
      <c r="W63" s="11">
        <f t="shared" si="200"/>
        <v>1</v>
      </c>
      <c r="X63" s="11">
        <f t="shared" si="200"/>
        <v>1</v>
      </c>
      <c r="Y63" s="11">
        <f t="shared" si="200"/>
        <v>1</v>
      </c>
      <c r="Z63" s="11">
        <f t="shared" si="200"/>
        <v>1</v>
      </c>
      <c r="AA63" s="11">
        <f t="shared" si="200"/>
        <v>1</v>
      </c>
      <c r="AB63" s="11">
        <f t="shared" si="200"/>
        <v>1</v>
      </c>
      <c r="AC63" s="11">
        <f t="shared" si="200"/>
        <v>1</v>
      </c>
      <c r="AD63" s="11">
        <f t="shared" si="200"/>
        <v>1</v>
      </c>
      <c r="AE63" s="11">
        <f t="shared" si="200"/>
        <v>1</v>
      </c>
      <c r="AF63" s="11">
        <f t="shared" si="200"/>
        <v>1</v>
      </c>
      <c r="AG63" s="11">
        <f t="shared" si="200"/>
        <v>1</v>
      </c>
      <c r="AH63" s="11">
        <f t="shared" si="200"/>
        <v>1</v>
      </c>
      <c r="AI63" s="11">
        <f t="shared" ref="AI63:BE63" si="201">IF(0.050329212104487*(((2*PI())/$S$29)*(4*AI$51)-SIN(((2*PI())/$S$29)*(4*AI$51)))&lt;AI55,1,0)</f>
        <v>1</v>
      </c>
      <c r="AJ63" s="11">
        <f t="shared" si="201"/>
        <v>1</v>
      </c>
      <c r="AK63" s="11">
        <f t="shared" si="201"/>
        <v>1</v>
      </c>
      <c r="AL63" s="11">
        <f t="shared" si="201"/>
        <v>1</v>
      </c>
      <c r="AM63" s="11">
        <f t="shared" si="201"/>
        <v>1</v>
      </c>
      <c r="AN63" s="11">
        <f t="shared" si="201"/>
        <v>1</v>
      </c>
      <c r="AO63" s="11">
        <f t="shared" si="201"/>
        <v>1</v>
      </c>
      <c r="AP63" s="11">
        <f t="shared" si="201"/>
        <v>1</v>
      </c>
      <c r="AQ63" s="11">
        <f t="shared" si="201"/>
        <v>1</v>
      </c>
      <c r="AR63" s="11">
        <f t="shared" si="201"/>
        <v>1</v>
      </c>
      <c r="AS63" s="11">
        <f t="shared" si="201"/>
        <v>1</v>
      </c>
      <c r="AT63" s="11">
        <f t="shared" si="201"/>
        <v>1</v>
      </c>
      <c r="AU63" s="11">
        <f t="shared" si="201"/>
        <v>1</v>
      </c>
      <c r="AV63" s="11">
        <f t="shared" si="201"/>
        <v>1</v>
      </c>
      <c r="AW63" s="11">
        <f t="shared" si="201"/>
        <v>1</v>
      </c>
      <c r="AX63" s="11">
        <f t="shared" si="201"/>
        <v>1</v>
      </c>
      <c r="AY63" s="11">
        <f t="shared" si="201"/>
        <v>1</v>
      </c>
      <c r="AZ63" s="11">
        <f t="shared" si="201"/>
        <v>1</v>
      </c>
      <c r="BA63" s="11">
        <f t="shared" si="201"/>
        <v>1</v>
      </c>
      <c r="BB63" s="11">
        <f t="shared" si="201"/>
        <v>1</v>
      </c>
      <c r="BC63" s="11">
        <f t="shared" si="201"/>
        <v>1</v>
      </c>
      <c r="BD63" s="11">
        <f t="shared" si="201"/>
        <v>1</v>
      </c>
      <c r="BE63" s="191">
        <f t="shared" si="201"/>
        <v>1</v>
      </c>
      <c r="BG63" s="223" t="s">
        <v>309</v>
      </c>
    </row>
    <row r="64" spans="1:59" s="223" customFormat="1" ht="13.5" customHeight="1">
      <c r="A64" s="202" t="s">
        <v>98</v>
      </c>
      <c r="B64" s="11"/>
      <c r="C64" s="11">
        <f>IF(C37&gt;C19,0,1)</f>
        <v>1</v>
      </c>
      <c r="D64" s="11">
        <f t="shared" ref="D64:BE64" si="202">IF(D37&gt;D19,0,1)</f>
        <v>1</v>
      </c>
      <c r="E64" s="11">
        <f t="shared" si="202"/>
        <v>1</v>
      </c>
      <c r="F64" s="11">
        <f t="shared" si="202"/>
        <v>1</v>
      </c>
      <c r="G64" s="11">
        <f t="shared" si="202"/>
        <v>1</v>
      </c>
      <c r="H64" s="11">
        <f t="shared" si="202"/>
        <v>1</v>
      </c>
      <c r="I64" s="11">
        <f t="shared" si="202"/>
        <v>1</v>
      </c>
      <c r="J64" s="11">
        <f t="shared" si="202"/>
        <v>1</v>
      </c>
      <c r="K64" s="11">
        <f t="shared" si="202"/>
        <v>1</v>
      </c>
      <c r="L64" s="11">
        <f t="shared" si="202"/>
        <v>1</v>
      </c>
      <c r="M64" s="11">
        <f t="shared" si="202"/>
        <v>1</v>
      </c>
      <c r="N64" s="11">
        <f>IF(N37&gt;N19,0,1)</f>
        <v>1</v>
      </c>
      <c r="O64" s="11">
        <f t="shared" si="202"/>
        <v>1</v>
      </c>
      <c r="P64" s="11">
        <f t="shared" si="202"/>
        <v>1</v>
      </c>
      <c r="Q64" s="11">
        <f t="shared" si="202"/>
        <v>1</v>
      </c>
      <c r="R64" s="11">
        <f t="shared" si="202"/>
        <v>1</v>
      </c>
      <c r="S64" s="11">
        <f t="shared" si="202"/>
        <v>1</v>
      </c>
      <c r="T64" s="11">
        <f t="shared" si="202"/>
        <v>1</v>
      </c>
      <c r="U64" s="11">
        <f t="shared" si="202"/>
        <v>1</v>
      </c>
      <c r="V64" s="11">
        <f t="shared" si="202"/>
        <v>1</v>
      </c>
      <c r="W64" s="11">
        <f t="shared" si="202"/>
        <v>1</v>
      </c>
      <c r="X64" s="11">
        <f t="shared" si="202"/>
        <v>1</v>
      </c>
      <c r="Y64" s="11">
        <f t="shared" si="202"/>
        <v>1</v>
      </c>
      <c r="Z64" s="11">
        <f t="shared" si="202"/>
        <v>1</v>
      </c>
      <c r="AA64" s="11">
        <f t="shared" si="202"/>
        <v>1</v>
      </c>
      <c r="AB64" s="11">
        <f t="shared" si="202"/>
        <v>1</v>
      </c>
      <c r="AC64" s="11">
        <f t="shared" si="202"/>
        <v>1</v>
      </c>
      <c r="AD64" s="11">
        <f t="shared" si="202"/>
        <v>1</v>
      </c>
      <c r="AE64" s="11">
        <f t="shared" si="202"/>
        <v>1</v>
      </c>
      <c r="AF64" s="11">
        <f t="shared" si="202"/>
        <v>1</v>
      </c>
      <c r="AG64" s="11">
        <f t="shared" si="202"/>
        <v>1</v>
      </c>
      <c r="AH64" s="11">
        <f t="shared" si="202"/>
        <v>1</v>
      </c>
      <c r="AI64" s="11">
        <f t="shared" si="202"/>
        <v>1</v>
      </c>
      <c r="AJ64" s="11">
        <f t="shared" si="202"/>
        <v>1</v>
      </c>
      <c r="AK64" s="11">
        <f t="shared" si="202"/>
        <v>1</v>
      </c>
      <c r="AL64" s="11">
        <f t="shared" si="202"/>
        <v>1</v>
      </c>
      <c r="AM64" s="11">
        <f t="shared" si="202"/>
        <v>1</v>
      </c>
      <c r="AN64" s="11">
        <f t="shared" si="202"/>
        <v>1</v>
      </c>
      <c r="AO64" s="11">
        <f t="shared" si="202"/>
        <v>1</v>
      </c>
      <c r="AP64" s="11">
        <f t="shared" si="202"/>
        <v>1</v>
      </c>
      <c r="AQ64" s="11">
        <f t="shared" si="202"/>
        <v>1</v>
      </c>
      <c r="AR64" s="11">
        <f t="shared" si="202"/>
        <v>1</v>
      </c>
      <c r="AS64" s="11">
        <f t="shared" si="202"/>
        <v>1</v>
      </c>
      <c r="AT64" s="11">
        <f t="shared" si="202"/>
        <v>1</v>
      </c>
      <c r="AU64" s="11">
        <f t="shared" si="202"/>
        <v>1</v>
      </c>
      <c r="AV64" s="11">
        <f t="shared" si="202"/>
        <v>1</v>
      </c>
      <c r="AW64" s="11">
        <f t="shared" si="202"/>
        <v>1</v>
      </c>
      <c r="AX64" s="11">
        <f t="shared" si="202"/>
        <v>1</v>
      </c>
      <c r="AY64" s="11">
        <f t="shared" si="202"/>
        <v>1</v>
      </c>
      <c r="AZ64" s="11">
        <f t="shared" si="202"/>
        <v>1</v>
      </c>
      <c r="BA64" s="11">
        <f t="shared" si="202"/>
        <v>1</v>
      </c>
      <c r="BB64" s="11">
        <f t="shared" si="202"/>
        <v>1</v>
      </c>
      <c r="BC64" s="11">
        <f t="shared" si="202"/>
        <v>1</v>
      </c>
      <c r="BD64" s="11">
        <f t="shared" si="202"/>
        <v>1</v>
      </c>
      <c r="BE64" s="191">
        <f t="shared" si="202"/>
        <v>1</v>
      </c>
      <c r="BG64" s="223" t="s">
        <v>310</v>
      </c>
    </row>
    <row r="65" spans="1:59" s="223" customFormat="1" ht="13.5" customHeight="1">
      <c r="A65" s="202" t="s">
        <v>267</v>
      </c>
      <c r="B65" s="11"/>
      <c r="C65" s="11">
        <f t="shared" ref="C65:O65" si="203">IF($D$30,1,0)</f>
        <v>1</v>
      </c>
      <c r="D65" s="11">
        <f t="shared" si="203"/>
        <v>1</v>
      </c>
      <c r="E65" s="11">
        <f t="shared" si="203"/>
        <v>1</v>
      </c>
      <c r="F65" s="11">
        <f t="shared" si="203"/>
        <v>1</v>
      </c>
      <c r="G65" s="11">
        <f t="shared" si="203"/>
        <v>1</v>
      </c>
      <c r="H65" s="11">
        <f t="shared" si="203"/>
        <v>1</v>
      </c>
      <c r="I65" s="11">
        <f t="shared" si="203"/>
        <v>1</v>
      </c>
      <c r="J65" s="11">
        <f t="shared" si="203"/>
        <v>1</v>
      </c>
      <c r="K65" s="11">
        <f t="shared" si="203"/>
        <v>1</v>
      </c>
      <c r="L65" s="11">
        <f t="shared" si="203"/>
        <v>1</v>
      </c>
      <c r="M65" s="11">
        <f t="shared" si="203"/>
        <v>1</v>
      </c>
      <c r="N65" s="11">
        <f t="shared" si="203"/>
        <v>1</v>
      </c>
      <c r="O65" s="11">
        <f t="shared" si="203"/>
        <v>1</v>
      </c>
      <c r="P65" s="11">
        <f>IF($D$31,1,0)</f>
        <v>1</v>
      </c>
      <c r="Q65" s="11">
        <f t="shared" ref="Q65:Y65" si="204">IF($D$30,1,0)</f>
        <v>1</v>
      </c>
      <c r="R65" s="11">
        <f t="shared" si="204"/>
        <v>1</v>
      </c>
      <c r="S65" s="11">
        <f t="shared" si="204"/>
        <v>1</v>
      </c>
      <c r="T65" s="11">
        <f t="shared" si="204"/>
        <v>1</v>
      </c>
      <c r="U65" s="11">
        <f t="shared" si="204"/>
        <v>1</v>
      </c>
      <c r="V65" s="11">
        <f t="shared" si="204"/>
        <v>1</v>
      </c>
      <c r="W65" s="11">
        <f t="shared" si="204"/>
        <v>1</v>
      </c>
      <c r="X65" s="11">
        <f t="shared" si="204"/>
        <v>1</v>
      </c>
      <c r="Y65" s="11">
        <f t="shared" si="204"/>
        <v>1</v>
      </c>
      <c r="Z65" s="11">
        <f>IF($D$31,1,0)</f>
        <v>1</v>
      </c>
      <c r="AA65" s="11">
        <f t="shared" ref="AA65:AN65" si="205">IF($D$30,1,0)</f>
        <v>1</v>
      </c>
      <c r="AB65" s="11">
        <f t="shared" si="205"/>
        <v>1</v>
      </c>
      <c r="AC65" s="11">
        <f t="shared" si="205"/>
        <v>1</v>
      </c>
      <c r="AD65" s="11">
        <f t="shared" si="205"/>
        <v>1</v>
      </c>
      <c r="AE65" s="11">
        <f t="shared" si="205"/>
        <v>1</v>
      </c>
      <c r="AF65" s="11">
        <f t="shared" si="205"/>
        <v>1</v>
      </c>
      <c r="AG65" s="11">
        <f t="shared" si="205"/>
        <v>1</v>
      </c>
      <c r="AH65" s="11">
        <f t="shared" si="205"/>
        <v>1</v>
      </c>
      <c r="AI65" s="11">
        <f t="shared" si="205"/>
        <v>1</v>
      </c>
      <c r="AJ65" s="11">
        <f t="shared" si="205"/>
        <v>1</v>
      </c>
      <c r="AK65" s="11">
        <f t="shared" si="205"/>
        <v>1</v>
      </c>
      <c r="AL65" s="11">
        <f t="shared" si="205"/>
        <v>1</v>
      </c>
      <c r="AM65" s="11">
        <f t="shared" si="205"/>
        <v>1</v>
      </c>
      <c r="AN65" s="11">
        <f t="shared" si="205"/>
        <v>1</v>
      </c>
      <c r="AO65" s="11">
        <f>IF($D$31,1,0)</f>
        <v>1</v>
      </c>
      <c r="AP65" s="11">
        <f t="shared" ref="AP65:BE65" si="206">IF($D$30,1,0)</f>
        <v>1</v>
      </c>
      <c r="AQ65" s="11">
        <f t="shared" si="206"/>
        <v>1</v>
      </c>
      <c r="AR65" s="11">
        <f t="shared" si="206"/>
        <v>1</v>
      </c>
      <c r="AS65" s="11">
        <f t="shared" si="206"/>
        <v>1</v>
      </c>
      <c r="AT65" s="11">
        <f t="shared" si="206"/>
        <v>1</v>
      </c>
      <c r="AU65" s="11">
        <f t="shared" si="206"/>
        <v>1</v>
      </c>
      <c r="AV65" s="11">
        <f t="shared" si="206"/>
        <v>1</v>
      </c>
      <c r="AW65" s="11">
        <f t="shared" si="206"/>
        <v>1</v>
      </c>
      <c r="AX65" s="11">
        <f t="shared" si="206"/>
        <v>1</v>
      </c>
      <c r="AY65" s="11">
        <f t="shared" si="206"/>
        <v>1</v>
      </c>
      <c r="AZ65" s="11">
        <f t="shared" si="206"/>
        <v>1</v>
      </c>
      <c r="BA65" s="11">
        <f t="shared" si="206"/>
        <v>1</v>
      </c>
      <c r="BB65" s="11">
        <f t="shared" si="206"/>
        <v>1</v>
      </c>
      <c r="BC65" s="11">
        <f t="shared" si="206"/>
        <v>1</v>
      </c>
      <c r="BD65" s="11">
        <f t="shared" si="206"/>
        <v>1</v>
      </c>
      <c r="BE65" s="191">
        <f t="shared" si="206"/>
        <v>1</v>
      </c>
      <c r="BG65" s="223" t="s">
        <v>313</v>
      </c>
    </row>
    <row r="66" spans="1:59" s="223" customFormat="1" ht="13.5" customHeight="1">
      <c r="A66" s="207" t="s">
        <v>168</v>
      </c>
      <c r="B66" s="11"/>
      <c r="C66" s="11">
        <f t="shared" ref="C66:AH66" si="207">IF(C46&gt;$D$26,0,1)</f>
        <v>0</v>
      </c>
      <c r="D66" s="11">
        <f t="shared" si="207"/>
        <v>0</v>
      </c>
      <c r="E66" s="11">
        <f t="shared" si="207"/>
        <v>0</v>
      </c>
      <c r="F66" s="11">
        <f t="shared" si="207"/>
        <v>0</v>
      </c>
      <c r="G66" s="11">
        <f t="shared" si="207"/>
        <v>0</v>
      </c>
      <c r="H66" s="11">
        <f t="shared" si="207"/>
        <v>0</v>
      </c>
      <c r="I66" s="11">
        <f t="shared" si="207"/>
        <v>0</v>
      </c>
      <c r="J66" s="11">
        <f t="shared" si="207"/>
        <v>0</v>
      </c>
      <c r="K66" s="11">
        <f t="shared" si="207"/>
        <v>0</v>
      </c>
      <c r="L66" s="11">
        <f t="shared" si="207"/>
        <v>0</v>
      </c>
      <c r="M66" s="11">
        <f t="shared" si="207"/>
        <v>0</v>
      </c>
      <c r="N66" s="11">
        <f t="shared" si="207"/>
        <v>0</v>
      </c>
      <c r="O66" s="11">
        <f t="shared" si="207"/>
        <v>0</v>
      </c>
      <c r="P66" s="11">
        <f t="shared" si="207"/>
        <v>0</v>
      </c>
      <c r="Q66" s="11">
        <f t="shared" si="207"/>
        <v>0</v>
      </c>
      <c r="R66" s="11">
        <f t="shared" si="207"/>
        <v>0</v>
      </c>
      <c r="S66" s="11">
        <f t="shared" si="207"/>
        <v>0</v>
      </c>
      <c r="T66" s="11">
        <f t="shared" si="207"/>
        <v>1</v>
      </c>
      <c r="U66" s="11">
        <f t="shared" si="207"/>
        <v>0</v>
      </c>
      <c r="V66" s="11">
        <f t="shared" si="207"/>
        <v>1</v>
      </c>
      <c r="W66" s="11">
        <f t="shared" si="207"/>
        <v>0</v>
      </c>
      <c r="X66" s="11">
        <f t="shared" si="207"/>
        <v>0</v>
      </c>
      <c r="Y66" s="11">
        <f t="shared" si="207"/>
        <v>0</v>
      </c>
      <c r="Z66" s="11">
        <f t="shared" si="207"/>
        <v>0</v>
      </c>
      <c r="AA66" s="11">
        <f t="shared" si="207"/>
        <v>1</v>
      </c>
      <c r="AB66" s="11">
        <f t="shared" si="207"/>
        <v>0</v>
      </c>
      <c r="AC66" s="11">
        <f t="shared" si="207"/>
        <v>0</v>
      </c>
      <c r="AD66" s="11">
        <f t="shared" si="207"/>
        <v>0</v>
      </c>
      <c r="AE66" s="11">
        <f t="shared" si="207"/>
        <v>0</v>
      </c>
      <c r="AF66" s="11">
        <f t="shared" si="207"/>
        <v>0</v>
      </c>
      <c r="AG66" s="11">
        <f t="shared" si="207"/>
        <v>0</v>
      </c>
      <c r="AH66" s="11">
        <f t="shared" si="207"/>
        <v>0</v>
      </c>
      <c r="AI66" s="11">
        <f t="shared" ref="AI66:BE66" si="208">IF(AI46&gt;$D$26,0,1)</f>
        <v>0</v>
      </c>
      <c r="AJ66" s="11">
        <f t="shared" si="208"/>
        <v>0</v>
      </c>
      <c r="AK66" s="11">
        <f t="shared" si="208"/>
        <v>1</v>
      </c>
      <c r="AL66" s="11">
        <f t="shared" si="208"/>
        <v>1</v>
      </c>
      <c r="AM66" s="11">
        <f t="shared" si="208"/>
        <v>0</v>
      </c>
      <c r="AN66" s="11">
        <f t="shared" si="208"/>
        <v>1</v>
      </c>
      <c r="AO66" s="11">
        <f t="shared" si="208"/>
        <v>0</v>
      </c>
      <c r="AP66" s="11">
        <f t="shared" si="208"/>
        <v>1</v>
      </c>
      <c r="AQ66" s="11">
        <f t="shared" si="208"/>
        <v>0</v>
      </c>
      <c r="AR66" s="11">
        <f t="shared" si="208"/>
        <v>0</v>
      </c>
      <c r="AS66" s="11">
        <f t="shared" si="208"/>
        <v>1</v>
      </c>
      <c r="AT66" s="11">
        <f t="shared" si="208"/>
        <v>0</v>
      </c>
      <c r="AU66" s="11">
        <f t="shared" si="208"/>
        <v>0</v>
      </c>
      <c r="AV66" s="11">
        <f t="shared" si="208"/>
        <v>1</v>
      </c>
      <c r="AW66" s="11">
        <f t="shared" si="208"/>
        <v>1</v>
      </c>
      <c r="AX66" s="11">
        <f t="shared" si="208"/>
        <v>0</v>
      </c>
      <c r="AY66" s="11">
        <f t="shared" si="208"/>
        <v>0</v>
      </c>
      <c r="AZ66" s="11">
        <f t="shared" si="208"/>
        <v>0</v>
      </c>
      <c r="BA66" s="11">
        <f t="shared" si="208"/>
        <v>0</v>
      </c>
      <c r="BB66" s="11">
        <f t="shared" si="208"/>
        <v>0</v>
      </c>
      <c r="BC66" s="11">
        <f t="shared" si="208"/>
        <v>0</v>
      </c>
      <c r="BD66" s="11">
        <f t="shared" si="208"/>
        <v>0</v>
      </c>
      <c r="BE66" s="191">
        <f t="shared" si="208"/>
        <v>0</v>
      </c>
      <c r="BG66" s="223" t="s">
        <v>311</v>
      </c>
    </row>
    <row r="67" spans="1:59" s="223" customFormat="1" ht="13.5" customHeight="1" thickBot="1">
      <c r="A67" s="200" t="s">
        <v>222</v>
      </c>
      <c r="B67" s="212"/>
      <c r="C67" s="212">
        <f t="shared" ref="C67:AH67" si="209">IF(C49&gt;C44,1,0)</f>
        <v>0</v>
      </c>
      <c r="D67" s="212">
        <f t="shared" si="209"/>
        <v>0</v>
      </c>
      <c r="E67" s="212">
        <f t="shared" si="209"/>
        <v>0</v>
      </c>
      <c r="F67" s="212">
        <f t="shared" si="209"/>
        <v>0</v>
      </c>
      <c r="G67" s="212">
        <f t="shared" si="209"/>
        <v>0</v>
      </c>
      <c r="H67" s="212">
        <f t="shared" si="209"/>
        <v>0</v>
      </c>
      <c r="I67" s="212">
        <f t="shared" si="209"/>
        <v>0</v>
      </c>
      <c r="J67" s="212">
        <f t="shared" si="209"/>
        <v>0</v>
      </c>
      <c r="K67" s="212">
        <f t="shared" si="209"/>
        <v>0</v>
      </c>
      <c r="L67" s="212">
        <f t="shared" si="209"/>
        <v>0</v>
      </c>
      <c r="M67" s="212">
        <f t="shared" si="209"/>
        <v>0</v>
      </c>
      <c r="N67" s="212">
        <f t="shared" si="209"/>
        <v>0</v>
      </c>
      <c r="O67" s="212">
        <f t="shared" si="209"/>
        <v>0</v>
      </c>
      <c r="P67" s="212">
        <f t="shared" si="209"/>
        <v>0</v>
      </c>
      <c r="Q67" s="212">
        <f t="shared" si="209"/>
        <v>0</v>
      </c>
      <c r="R67" s="212">
        <f t="shared" si="209"/>
        <v>0</v>
      </c>
      <c r="S67" s="212">
        <f t="shared" si="209"/>
        <v>0</v>
      </c>
      <c r="T67" s="212">
        <f t="shared" si="209"/>
        <v>1</v>
      </c>
      <c r="U67" s="212">
        <f t="shared" si="209"/>
        <v>0</v>
      </c>
      <c r="V67" s="212">
        <f t="shared" si="209"/>
        <v>1</v>
      </c>
      <c r="W67" s="212">
        <f t="shared" si="209"/>
        <v>1</v>
      </c>
      <c r="X67" s="212">
        <f t="shared" si="209"/>
        <v>0</v>
      </c>
      <c r="Y67" s="212">
        <f t="shared" si="209"/>
        <v>1</v>
      </c>
      <c r="Z67" s="212">
        <f t="shared" si="209"/>
        <v>0</v>
      </c>
      <c r="AA67" s="212">
        <f t="shared" si="209"/>
        <v>1</v>
      </c>
      <c r="AB67" s="212">
        <f t="shared" si="209"/>
        <v>0</v>
      </c>
      <c r="AC67" s="212">
        <f t="shared" si="209"/>
        <v>0</v>
      </c>
      <c r="AD67" s="212">
        <f t="shared" si="209"/>
        <v>1</v>
      </c>
      <c r="AE67" s="212">
        <f t="shared" si="209"/>
        <v>0</v>
      </c>
      <c r="AF67" s="212">
        <f t="shared" si="209"/>
        <v>0</v>
      </c>
      <c r="AG67" s="212">
        <f t="shared" si="209"/>
        <v>0</v>
      </c>
      <c r="AH67" s="212">
        <f t="shared" si="209"/>
        <v>1</v>
      </c>
      <c r="AI67" s="212">
        <f t="shared" ref="AI67:BE67" si="210">IF(AI49&gt;AI44,1,0)</f>
        <v>0</v>
      </c>
      <c r="AJ67" s="212">
        <f t="shared" si="210"/>
        <v>0</v>
      </c>
      <c r="AK67" s="212">
        <f t="shared" si="210"/>
        <v>1</v>
      </c>
      <c r="AL67" s="212">
        <f t="shared" si="210"/>
        <v>1</v>
      </c>
      <c r="AM67" s="212">
        <f t="shared" si="210"/>
        <v>1</v>
      </c>
      <c r="AN67" s="212">
        <f t="shared" si="210"/>
        <v>1</v>
      </c>
      <c r="AO67" s="212">
        <f t="shared" si="210"/>
        <v>0</v>
      </c>
      <c r="AP67" s="212">
        <f t="shared" si="210"/>
        <v>1</v>
      </c>
      <c r="AQ67" s="212">
        <f t="shared" si="210"/>
        <v>1</v>
      </c>
      <c r="AR67" s="212">
        <f t="shared" si="210"/>
        <v>0</v>
      </c>
      <c r="AS67" s="212">
        <f t="shared" si="210"/>
        <v>0</v>
      </c>
      <c r="AT67" s="212">
        <f t="shared" si="210"/>
        <v>1</v>
      </c>
      <c r="AU67" s="212">
        <f t="shared" si="210"/>
        <v>0</v>
      </c>
      <c r="AV67" s="212">
        <f t="shared" si="210"/>
        <v>1</v>
      </c>
      <c r="AW67" s="212">
        <f t="shared" si="210"/>
        <v>1</v>
      </c>
      <c r="AX67" s="212">
        <f t="shared" si="210"/>
        <v>1</v>
      </c>
      <c r="AY67" s="212">
        <f t="shared" si="210"/>
        <v>0</v>
      </c>
      <c r="AZ67" s="212">
        <f t="shared" si="210"/>
        <v>0</v>
      </c>
      <c r="BA67" s="212">
        <f t="shared" si="210"/>
        <v>0</v>
      </c>
      <c r="BB67" s="212">
        <f t="shared" si="210"/>
        <v>0</v>
      </c>
      <c r="BC67" s="212">
        <f t="shared" si="210"/>
        <v>0</v>
      </c>
      <c r="BD67" s="212">
        <f t="shared" si="210"/>
        <v>0</v>
      </c>
      <c r="BE67" s="201">
        <f t="shared" si="210"/>
        <v>0</v>
      </c>
      <c r="BG67" s="223" t="s">
        <v>312</v>
      </c>
    </row>
    <row r="68" spans="1:59" s="223" customFormat="1" ht="13.5" customHeight="1"/>
    <row r="69" spans="1:59" s="223" customFormat="1" ht="13.5" customHeight="1"/>
    <row r="70" spans="1:59" s="223" customFormat="1" ht="13.5" customHeight="1"/>
    <row r="71" spans="1:59">
      <c r="Q71" s="14"/>
      <c r="R71" s="14"/>
      <c r="S71" s="14"/>
    </row>
    <row r="72" spans="1:59">
      <c r="A72" s="14"/>
      <c r="B72" s="14"/>
      <c r="C72" s="14"/>
      <c r="D72" s="14"/>
      <c r="E72" s="14"/>
      <c r="F72" s="14"/>
      <c r="G72" s="14"/>
      <c r="H72" s="14"/>
      <c r="I72" s="14"/>
    </row>
    <row r="73" spans="1:59">
      <c r="A73" s="14"/>
      <c r="B73" s="14"/>
      <c r="C73" s="14"/>
      <c r="D73" s="14"/>
      <c r="F73" s="14"/>
      <c r="G73" s="14"/>
      <c r="H73" s="14"/>
      <c r="I73" s="14"/>
    </row>
  </sheetData>
  <sheetProtection password="D755" sheet="1" objects="1" scenarios="1" selectLockedCells="1"/>
  <printOptions headings="1" gridLines="1"/>
  <pageMargins left="0.78740157480314965" right="0.78740157480314965" top="0.98425196850393704" bottom="0.98425196850393704" header="0.51181102362204722" footer="0.51181102362204722"/>
  <pageSetup paperSize="9" scale="90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Sizing</vt:lpstr>
      <vt:lpstr>Spec Sheet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Jerame Chamberlain</dc:creator>
  <cp:lastModifiedBy>Jerame Chamberlain</cp:lastModifiedBy>
  <dcterms:created xsi:type="dcterms:W3CDTF">2013-02-21T16:05:23Z</dcterms:created>
  <dcterms:modified xsi:type="dcterms:W3CDTF">2014-04-03T17:15:35Z</dcterms:modified>
</cp:coreProperties>
</file>